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F:\Dropbox\Piepvlaggen.nl\Automatische invulling formulieren\Lege versie aanvraagformulier\"/>
    </mc:Choice>
  </mc:AlternateContent>
  <xr:revisionPtr revIDLastSave="0" documentId="13_ncr:1_{9D53360D-06DD-44CF-99D8-F5F32E551BB1}" xr6:coauthVersionLast="47" xr6:coauthVersionMax="47" xr10:uidLastSave="{00000000-0000-0000-0000-000000000000}"/>
  <workbookProtection workbookAlgorithmName="SHA-512" workbookHashValue="SHMG+8Tdr6vF5kytAcsMSFmG4wlVnMBQ8uFMuAYM3r/W6Qzs/+/SRVCtqCrEovyLOABVzWnLJRwMrBsreFI2Tg==" workbookSaltValue="gxN1Bz2XAdNx7ndThxlZ0w==" workbookSpinCount="100000" lockStructure="1"/>
  <bookViews>
    <workbookView xWindow="-28920" yWindow="-120" windowWidth="29040" windowHeight="15840" xr2:uid="{BF6AC317-97D2-4593-9C84-DA8DBB1955BC}"/>
  </bookViews>
  <sheets>
    <sheet name="Aanvraagformulier" sheetId="1" r:id="rId1"/>
    <sheet name="Reserve-onderdelen" sheetId="3" r:id="rId2"/>
    <sheet name="Blad1" sheetId="2"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6" i="1" l="1"/>
  <c r="AF36" i="1"/>
  <c r="AH36" i="1" s="1"/>
  <c r="AG25" i="1"/>
  <c r="AF12" i="1"/>
  <c r="AF11" i="1"/>
  <c r="AF10" i="1"/>
  <c r="AH10" i="1" s="1"/>
  <c r="AF35" i="1"/>
  <c r="AH11" i="1"/>
  <c r="AJ11" i="1"/>
  <c r="AE35" i="1"/>
  <c r="AD35" i="1"/>
  <c r="AG16" i="1"/>
  <c r="N44" i="1"/>
  <c r="AA11" i="1"/>
  <c r="AA10" i="1"/>
  <c r="AB2" i="2"/>
  <c r="AI2" i="2"/>
  <c r="AN2" i="2"/>
  <c r="AH2" i="2"/>
  <c r="J2" i="2"/>
  <c r="AG2" i="2"/>
  <c r="AH48" i="1"/>
  <c r="K2" i="2"/>
  <c r="AG48" i="1"/>
  <c r="B2" i="2"/>
  <c r="Y16" i="1"/>
  <c r="Y17" i="1"/>
  <c r="Y18" i="1"/>
  <c r="L2" i="2"/>
  <c r="AI55" i="1"/>
  <c r="AG55" i="1"/>
  <c r="AH55" i="1" s="1"/>
  <c r="AK2" i="2"/>
  <c r="AG18" i="1"/>
  <c r="H2" i="2"/>
  <c r="AV2" i="2"/>
  <c r="AU2" i="2"/>
  <c r="AT2" i="2"/>
  <c r="AA13" i="1"/>
  <c r="Z2" i="2"/>
  <c r="AR2" i="2"/>
  <c r="Y20" i="1"/>
  <c r="H7" i="3"/>
  <c r="H8" i="3"/>
  <c r="H9" i="3"/>
  <c r="H10" i="3"/>
  <c r="H11" i="3"/>
  <c r="H13" i="3"/>
  <c r="H14" i="3"/>
  <c r="H15" i="3"/>
  <c r="H19" i="3"/>
  <c r="H20" i="3"/>
  <c r="H22" i="3"/>
  <c r="G51" i="3"/>
  <c r="AS2" i="2"/>
  <c r="H48" i="3"/>
  <c r="H6" i="3"/>
  <c r="H29" i="3"/>
  <c r="H30" i="3"/>
  <c r="H31" i="3"/>
  <c r="H32" i="3"/>
  <c r="H33" i="3"/>
  <c r="H34" i="3"/>
  <c r="H35" i="3"/>
  <c r="H36" i="3"/>
  <c r="H37" i="3"/>
  <c r="H38" i="3"/>
  <c r="H39" i="3"/>
  <c r="H45" i="3"/>
  <c r="H46" i="3"/>
  <c r="AA12" i="1"/>
  <c r="Y19" i="1"/>
  <c r="U2" i="2"/>
  <c r="AL2" i="2"/>
  <c r="BG2" i="2"/>
  <c r="BE2" i="2"/>
  <c r="H3" i="3" s="1"/>
  <c r="BF2" i="2"/>
  <c r="W2" i="2"/>
  <c r="X2" i="2"/>
  <c r="AZ2" i="2"/>
  <c r="AY2" i="2"/>
  <c r="AX2" i="2"/>
  <c r="AW2" i="2"/>
  <c r="V2" i="2"/>
  <c r="AC2" i="2"/>
  <c r="Y2" i="2"/>
  <c r="AE2" i="2"/>
  <c r="AQ2" i="2"/>
  <c r="AP2" i="2"/>
  <c r="AD2" i="2"/>
  <c r="AG61" i="1"/>
  <c r="AH61" i="1"/>
  <c r="AI61" i="1"/>
  <c r="T2" i="2" s="1"/>
  <c r="AI64" i="1"/>
  <c r="N2" i="2"/>
  <c r="F2" i="2"/>
  <c r="E2" i="2"/>
  <c r="I2" i="2"/>
  <c r="G2" i="2"/>
  <c r="D2" i="2"/>
  <c r="C2" i="2"/>
  <c r="C27" i="1"/>
  <c r="AI63" i="1"/>
  <c r="AA18" i="1"/>
  <c r="A2" i="2"/>
  <c r="H26" i="3"/>
  <c r="H51" i="3"/>
  <c r="C44" i="1"/>
  <c r="BD2" i="2"/>
  <c r="AI48" i="1"/>
  <c r="AA17" i="1"/>
  <c r="S2" i="2" l="1"/>
  <c r="Q2" i="2"/>
  <c r="O2" i="2"/>
  <c r="M2" i="2"/>
  <c r="P2" i="2"/>
  <c r="R2" i="2"/>
  <c r="K31" i="1"/>
  <c r="AF2" i="2" s="1"/>
  <c r="AG10" i="1"/>
  <c r="AH35" i="1" s="1"/>
  <c r="N42" i="1"/>
  <c r="AB10" i="1"/>
  <c r="AA2" i="2" s="1"/>
  <c r="AC18" i="1"/>
  <c r="AM2" i="2" l="1"/>
  <c r="AJ2" i="2"/>
  <c r="AH37" i="1"/>
  <c r="BA2" i="2" s="1"/>
  <c r="K32" i="1" l="1"/>
  <c r="AO2" i="2"/>
  <c r="C43" i="1" s="1"/>
  <c r="C45" i="1"/>
  <c r="BB2" i="2"/>
  <c r="N43" i="1" l="1"/>
  <c r="S43" i="1"/>
  <c r="BC2" i="2"/>
</calcChain>
</file>

<file path=xl/sharedStrings.xml><?xml version="1.0" encoding="utf-8"?>
<sst xmlns="http://schemas.openxmlformats.org/spreadsheetml/2006/main" count="274" uniqueCount="225">
  <si>
    <t>Vorm</t>
  </si>
  <si>
    <t>Aantal en soort</t>
  </si>
  <si>
    <t>Set piepvlaggen (2 vlaggen)</t>
  </si>
  <si>
    <t>Wisselbord dubbelzijdig</t>
  </si>
  <si>
    <t>Extra piepvlag</t>
  </si>
  <si>
    <t>Prijs</t>
  </si>
  <si>
    <t>Financial lease piepvlaggen</t>
  </si>
  <si>
    <t>Directe koop piepvlaggen</t>
  </si>
  <si>
    <t>Huur korte termijn 1 wedstrijd</t>
  </si>
  <si>
    <t>Huur korte termijn toernooi</t>
  </si>
  <si>
    <t>Aanvang:</t>
  </si>
  <si>
    <t>Einde:</t>
  </si>
  <si>
    <t>(dd-mm-jjjj)</t>
  </si>
  <si>
    <t>Ter beschikking via</t>
  </si>
  <si>
    <t>Huur lange termijn (min. 2 mnd)</t>
  </si>
  <si>
    <t>Zelf terugzenden met pakketpost</t>
  </si>
  <si>
    <t>Ophalen in Delft</t>
  </si>
  <si>
    <t>Zelf terugbrengen in Delft</t>
  </si>
  <si>
    <t>per dag, geen borg</t>
  </si>
  <si>
    <t>per mnd, 1 termijn borg</t>
  </si>
  <si>
    <t>per mnd (o.b.v. 12 mnd)</t>
  </si>
  <si>
    <t>Voor- en achternaam:</t>
  </si>
  <si>
    <t>Postcode, woonplaats:</t>
  </si>
  <si>
    <t>Land:</t>
  </si>
  <si>
    <t>E-mail:</t>
  </si>
  <si>
    <t>Reserve batterij (1x 9V pro)</t>
  </si>
  <si>
    <t>Bij een financial lease ontvangen wij tevens graag een kopie van een geldig identiteitsbewijs.</t>
  </si>
  <si>
    <t>Verzendgegevens (indien van toepassing)</t>
  </si>
  <si>
    <t>Ruimte voor opmerkingen</t>
  </si>
  <si>
    <t>Tel.nr. mobiel:</t>
  </si>
  <si>
    <t>Aanvraagformulier huur, lease en koop</t>
  </si>
  <si>
    <t>Vul onderstaand formulier zo volledig mogelijk in, zodat wij u zo goed mogelijk kunnen helpen.</t>
  </si>
  <si>
    <t>Voor- en achternaam</t>
  </si>
  <si>
    <t>Adres</t>
  </si>
  <si>
    <t>Postcode</t>
  </si>
  <si>
    <t>Woonplaats</t>
  </si>
  <si>
    <t>Land</t>
  </si>
  <si>
    <t>E-mail</t>
  </si>
  <si>
    <t>Tel.nr</t>
  </si>
  <si>
    <t>Verzendadres</t>
  </si>
  <si>
    <t>Postcode V</t>
  </si>
  <si>
    <t>Woonplaats V</t>
  </si>
  <si>
    <t>Aantal sets piepvlaggen</t>
  </si>
  <si>
    <t>Aantal wisselborden</t>
  </si>
  <si>
    <t>Extra piepvlaggen</t>
  </si>
  <si>
    <t>Extra batterijen</t>
  </si>
  <si>
    <t>Huur van</t>
  </si>
  <si>
    <t>Huur tot</t>
  </si>
  <si>
    <t>IBAN nummer:</t>
  </si>
  <si>
    <t>IBAN</t>
  </si>
  <si>
    <t>Periode*</t>
  </si>
  <si>
    <t>Aankoop reserve-onderdelen</t>
  </si>
  <si>
    <t>Uitvoeren reparatie</t>
  </si>
  <si>
    <t>Beschrijf onderin de problematiek</t>
  </si>
  <si>
    <t>Reserve-onderdelen</t>
  </si>
  <si>
    <t>Afwijkend verzendadres:</t>
  </si>
  <si>
    <t>Land V</t>
  </si>
  <si>
    <t>Afwijkend verz.adr?</t>
  </si>
  <si>
    <t>Verzending naar PostNL-punt</t>
  </si>
  <si>
    <t>T.a.v.</t>
  </si>
  <si>
    <t>Bedrijf of PostNL-punt:</t>
  </si>
  <si>
    <t>Bedrijf of postNL punt</t>
  </si>
  <si>
    <t>Zie toelichting onderin</t>
  </si>
  <si>
    <t>T.a.v. (naam)</t>
  </si>
  <si>
    <t>Post NL locatie?</t>
  </si>
  <si>
    <t>Geen afwijkend adres</t>
  </si>
  <si>
    <t>X</t>
  </si>
  <si>
    <t>Ophalen in Delft / pakketpost</t>
  </si>
  <si>
    <t>Pakketpost met door Piepvlaggen.nl verzorgd label</t>
  </si>
  <si>
    <t>Factuurgegevens cliënt (hoofdhuurder / (toekomstig) eigenaar)</t>
  </si>
  <si>
    <t>Zakelijke klant</t>
  </si>
  <si>
    <t>Nee</t>
  </si>
  <si>
    <t>Ja</t>
  </si>
  <si>
    <t>Aantal gebruiksdagen (huur):</t>
  </si>
  <si>
    <t>(moet minimaal 1 zijn)</t>
  </si>
  <si>
    <t>Gebruiksdagen</t>
  </si>
  <si>
    <t>Wisselbord enkelzijdig</t>
  </si>
  <si>
    <t>Huurprijs lange termijn</t>
  </si>
  <si>
    <t>Aantal maanden</t>
  </si>
  <si>
    <t>Verzendkosten</t>
  </si>
  <si>
    <t>Verzendk heen</t>
  </si>
  <si>
    <t>Verzendk terug</t>
  </si>
  <si>
    <t>Verzendk totaal</t>
  </si>
  <si>
    <t>Totale kosten huur kort</t>
  </si>
  <si>
    <t>Totale kosten huur lang</t>
  </si>
  <si>
    <t>Huurprijs korte termijn</t>
  </si>
  <si>
    <t>geen borg</t>
  </si>
  <si>
    <t>Huurprijs pdps</t>
  </si>
  <si>
    <t>Aantal wisselb enkelz</t>
  </si>
  <si>
    <t>Aantal wisselb dubbelz</t>
  </si>
  <si>
    <t>Factuur/prorma</t>
  </si>
  <si>
    <t>Facturatie KMR</t>
  </si>
  <si>
    <t>Wijkt het verzendadres af van de factuurgegevens of dient het pakket naar een PostNL locatie verzonden te worden?</t>
  </si>
  <si>
    <t>In maandelijkse termijnen</t>
  </si>
  <si>
    <t>Betaling ineens</t>
  </si>
  <si>
    <t>In termijnen of ineens</t>
  </si>
  <si>
    <t>Aantal maanden (huur lang):</t>
  </si>
  <si>
    <t>(moet minimaal 2 zijn)</t>
  </si>
  <si>
    <t>Huurkosten</t>
  </si>
  <si>
    <t>Koopkosten</t>
  </si>
  <si>
    <t>Maandelijkse termijn</t>
  </si>
  <si>
    <t>Batterijen</t>
  </si>
  <si>
    <t>koop</t>
  </si>
  <si>
    <t>Zie volgend tabblad</t>
  </si>
  <si>
    <t>1. Vlag</t>
  </si>
  <si>
    <t>Nummer</t>
  </si>
  <si>
    <t>Artikel</t>
  </si>
  <si>
    <t>1.1</t>
  </si>
  <si>
    <t>Rubberen handvat</t>
  </si>
  <si>
    <t>1.2</t>
  </si>
  <si>
    <t>Hard-plastic handvat, zonder schroeven</t>
  </si>
  <si>
    <t>1.3</t>
  </si>
  <si>
    <t>Batterijdop incl. springveer</t>
  </si>
  <si>
    <t xml:space="preserve">1.4 </t>
  </si>
  <si>
    <t>Vlaggenstok (basis) met draaidopje (= 1.5 + 1.6)</t>
  </si>
  <si>
    <t>1.5</t>
  </si>
  <si>
    <t>Vlaggenstok (basis)</t>
  </si>
  <si>
    <t>1.6</t>
  </si>
  <si>
    <t>Draaidopje</t>
  </si>
  <si>
    <t>1.7</t>
  </si>
  <si>
    <t>Stok voor RPS2156-5</t>
  </si>
  <si>
    <t>Op aanvraag</t>
  </si>
  <si>
    <t>1.8</t>
  </si>
  <si>
    <t>Ringetje op vlaggenstok</t>
  </si>
  <si>
    <t>1.9</t>
  </si>
  <si>
    <t>Plastic draaibuisje</t>
  </si>
  <si>
    <t>1.10</t>
  </si>
  <si>
    <t>Plastic nut</t>
  </si>
  <si>
    <t>1.11</t>
  </si>
  <si>
    <t>Niet voorradig</t>
  </si>
  <si>
    <t>1.12</t>
  </si>
  <si>
    <t>1.13</t>
  </si>
  <si>
    <t>1.14</t>
  </si>
  <si>
    <t>Reserveschroeven vlag middel</t>
  </si>
  <si>
    <t>1.15</t>
  </si>
  <si>
    <t>Reserveschroeven vlag groot</t>
  </si>
  <si>
    <t>1.16</t>
  </si>
  <si>
    <t>1.17</t>
  </si>
  <si>
    <t>Vlaggendoek</t>
  </si>
  <si>
    <t>1.18</t>
  </si>
  <si>
    <t>1.19</t>
  </si>
  <si>
    <t>Transmitter zonder vlag (RPS2156-5)</t>
  </si>
  <si>
    <t>2. Pager</t>
  </si>
  <si>
    <t>2.1</t>
  </si>
  <si>
    <t>Pager bodemplaat</t>
  </si>
  <si>
    <t>2.2</t>
  </si>
  <si>
    <t>Pager cover soft-shell</t>
  </si>
  <si>
    <t>2.3</t>
  </si>
  <si>
    <t>Vibrator</t>
  </si>
  <si>
    <t>2.4</t>
  </si>
  <si>
    <t>Philips schroevendraaier</t>
  </si>
  <si>
    <t>2.5</t>
  </si>
  <si>
    <t>Aan/uit knop</t>
  </si>
  <si>
    <t>2.6</t>
  </si>
  <si>
    <t>9V batterij clip</t>
  </si>
  <si>
    <t>2.7</t>
  </si>
  <si>
    <t>Bevestigingsstaafje voor armband</t>
  </si>
  <si>
    <t>2.8.1</t>
  </si>
  <si>
    <t>Reserveschroeven pager in zakje per 2 verpakt</t>
  </si>
  <si>
    <t>2.8.2</t>
  </si>
  <si>
    <t>Reserveschroeven pager los</t>
  </si>
  <si>
    <t>2.9</t>
  </si>
  <si>
    <t>Armband</t>
  </si>
  <si>
    <t>2.10</t>
  </si>
  <si>
    <t>Buzzer</t>
  </si>
  <si>
    <t>2.11</t>
  </si>
  <si>
    <t>Complete pager (richtprijs, alleen op aanvraag)</t>
  </si>
  <si>
    <t>3. Accesories</t>
  </si>
  <si>
    <t>3.1</t>
  </si>
  <si>
    <t>Draagtas</t>
  </si>
  <si>
    <t>3.2</t>
  </si>
  <si>
    <t>Foamlaag draagtas</t>
  </si>
  <si>
    <t>3.3</t>
  </si>
  <si>
    <t>3.4</t>
  </si>
  <si>
    <t>Blauwe plastic schroevendraaier piepconfiguratie</t>
  </si>
  <si>
    <t xml:space="preserve">Consumentenprijs </t>
  </si>
  <si>
    <t>Prijsberekening</t>
  </si>
  <si>
    <t>Aantal</t>
  </si>
  <si>
    <t>Batterij 9V</t>
  </si>
  <si>
    <t>Totaal</t>
  </si>
  <si>
    <t>Deze kunnen bijgekocht / bijgehuurd worden tegen het genoemde tarief. In het geval van huur worden bijgehuurde reservebatterijen achteraf terugbetaald indien niet gebruikt.</t>
  </si>
  <si>
    <t>Totale kosten res-onderdelen</t>
  </si>
  <si>
    <t>Aantal reserve-onderdelen</t>
  </si>
  <si>
    <t>Reparaties &amp; reserve-onderdelen</t>
  </si>
  <si>
    <t>Set aangeschaft bij Piepvlaggen.nl</t>
  </si>
  <si>
    <t>Zie andere tabblad</t>
  </si>
  <si>
    <t>Extra piepvlag ja/nee</t>
  </si>
  <si>
    <t>Extra piepvlag stukprijs huur</t>
  </si>
  <si>
    <t>Extra piepvlag stukprijs koop</t>
  </si>
  <si>
    <t xml:space="preserve">De initiële prijsberekening geeft een indicatie van de te verwachten kosten. De uiteindelijke kosten staan vermeld op de overeenkomst. Aan deze berekening kunnen geen rechten worden ontleend. </t>
  </si>
  <si>
    <t>Initiële prijsberekening*</t>
  </si>
  <si>
    <t>Zakelijke klant*</t>
  </si>
  <si>
    <t>per batterij*</t>
  </si>
  <si>
    <t>Zakelijke klanten</t>
  </si>
  <si>
    <t>Bij onderdelen met een * zie toelichting onderaan het formulier.</t>
  </si>
  <si>
    <t>Retourneren</t>
  </si>
  <si>
    <t>Pakketpost</t>
  </si>
  <si>
    <t>/ aanbieden in Delft</t>
  </si>
  <si>
    <t>Cliëntenkorting ja/nee</t>
  </si>
  <si>
    <t>Alleen aanvinken indien een BTW factuur noodzakelijk is. Facturatie geschiedt dan door ons moederbedrijf. Getoonde prijzen zijn excl. BTW. Wij nemen in dat geval contact met u op om de kostprijs en verdere afhandeling te bespreken.</t>
  </si>
  <si>
    <t>Borg</t>
  </si>
  <si>
    <t>Bij aangevraagde reparaties betaalt u een starttarief van € 35,00 per set t.b.v. de onderzoekskosten. Wij stellen de problematiek vast en doen u een prijsopgave van de verwachte reparatiekosten. Deze betreffen de verwachte arbeidstijd en de reserve-onderdelen. Weet u al welke onderdelen het betreft, dan kunt u deze op het betreffende tabblad al opgeven. Heeft u de set bij ons aangeschaft? Dan krijgt u 15% korting op reparaties buiten de garantie en reserve-onderdelen.</t>
  </si>
  <si>
    <r>
      <t xml:space="preserve">Stuur vervolgens dit document als excel-document terug naar </t>
    </r>
    <r>
      <rPr>
        <b/>
        <u/>
        <sz val="11"/>
        <color theme="1"/>
        <rFont val="Calibri"/>
        <family val="2"/>
        <scheme val="minor"/>
      </rPr>
      <t>aanvraag@piepvlaggen.nl</t>
    </r>
    <r>
      <rPr>
        <b/>
        <sz val="11"/>
        <color theme="1"/>
        <rFont val="Calibri"/>
        <family val="2"/>
        <scheme val="minor"/>
      </rPr>
      <t>.</t>
    </r>
  </si>
  <si>
    <t>Straat en huisnr:</t>
  </si>
  <si>
    <t>Geboortedatum:</t>
  </si>
  <si>
    <t>Rood gearceerde vakken zijn verplicht, tenzij deze niet van toepassing zijn. Cliënt dient minimaal 18 jaar te zijn.</t>
  </si>
  <si>
    <t>(t.b.v. overeenkomst)</t>
  </si>
  <si>
    <t>Geb.datum</t>
  </si>
  <si>
    <r>
      <rPr>
        <b/>
        <sz val="11"/>
        <color theme="1"/>
        <rFont val="Calibri"/>
        <family val="2"/>
        <scheme val="minor"/>
      </rPr>
      <t>Periode</t>
    </r>
    <r>
      <rPr>
        <sz val="11"/>
        <color theme="1"/>
        <rFont val="Calibri"/>
        <family val="2"/>
        <scheme val="minor"/>
      </rPr>
      <t xml:space="preserve">
- </t>
    </r>
    <r>
      <rPr>
        <b/>
        <sz val="11"/>
        <color theme="1"/>
        <rFont val="Calibri"/>
        <family val="2"/>
        <scheme val="minor"/>
      </rPr>
      <t>Korte termijn huur</t>
    </r>
    <r>
      <rPr>
        <sz val="11"/>
        <color theme="1"/>
        <rFont val="Calibri"/>
        <family val="2"/>
        <scheme val="minor"/>
      </rPr>
      <t xml:space="preserve">: vul bij "aanvang" de dag in waarop het gehuurde </t>
    </r>
    <r>
      <rPr>
        <u/>
        <sz val="11"/>
        <color theme="1"/>
        <rFont val="Calibri"/>
        <family val="2"/>
        <scheme val="minor"/>
      </rPr>
      <t>in gebruikt genomen</t>
    </r>
    <r>
      <rPr>
        <sz val="11"/>
        <color theme="1"/>
        <rFont val="Calibri"/>
        <family val="2"/>
        <scheme val="minor"/>
      </rPr>
      <t xml:space="preserve"> wordt,
  bij "einde", de </t>
    </r>
    <r>
      <rPr>
        <u/>
        <sz val="11"/>
        <color theme="1"/>
        <rFont val="Calibri"/>
        <family val="2"/>
        <scheme val="minor"/>
      </rPr>
      <t>1e dag waarop het gehuurde niet meer gebruikt wordt</t>
    </r>
    <r>
      <rPr>
        <sz val="11"/>
        <color theme="1"/>
        <rFont val="Calibri"/>
        <family val="2"/>
        <scheme val="minor"/>
      </rPr>
      <t>. Het formulier berekent zelf
  het aantal gebruiksdagen (moet minimaal 1 zijn). Alleen gebruiksdagen worden in rekening gebracht. 
-</t>
    </r>
    <r>
      <rPr>
        <b/>
        <sz val="11"/>
        <color theme="1"/>
        <rFont val="Calibri"/>
        <family val="2"/>
        <scheme val="minor"/>
      </rPr>
      <t xml:space="preserve"> Lange termijn huur:</t>
    </r>
    <r>
      <rPr>
        <sz val="11"/>
        <color theme="1"/>
        <rFont val="Calibri"/>
        <family val="2"/>
        <scheme val="minor"/>
      </rPr>
      <t xml:space="preserve"> vul de periode in waarin u het gehuurde ter beschikking wilt hebben (min.  
   2 maanden, afgerond op hele maanden). Selecteer of u in termijnen of ineens wilt betalen. 
- </t>
    </r>
    <r>
      <rPr>
        <b/>
        <sz val="11"/>
        <color theme="1"/>
        <rFont val="Calibri"/>
        <family val="2"/>
        <scheme val="minor"/>
      </rPr>
      <t>Lease:</t>
    </r>
    <r>
      <rPr>
        <sz val="11"/>
        <color theme="1"/>
        <rFont val="Calibri"/>
        <family val="2"/>
        <scheme val="minor"/>
      </rPr>
      <t xml:space="preserve"> vul de gewenste startdatum in. Dit moet de 1e dag van de maand zijn. In overleg zal 
   worden afgesproken wanneer u het object in bezit kunt krijgen. Laat de einddatum open.
- </t>
    </r>
    <r>
      <rPr>
        <b/>
        <sz val="11"/>
        <color theme="1"/>
        <rFont val="Calibri"/>
        <family val="2"/>
        <scheme val="minor"/>
      </rPr>
      <t>Koop of reparatie:</t>
    </r>
    <r>
      <rPr>
        <sz val="11"/>
        <color theme="1"/>
        <rFont val="Calibri"/>
        <family val="2"/>
        <scheme val="minor"/>
      </rPr>
      <t xml:space="preserve"> vul de gewenste ontvangstdatum in en laat de einddatum open. In overleg zal 
  worden afgesproken wanneer u de set of goederen geleverd krijgt.</t>
    </r>
  </si>
  <si>
    <t>toeslag (huur)</t>
  </si>
  <si>
    <t>Vereniging / bedrijf</t>
  </si>
  <si>
    <t>Tekst geb.datum</t>
  </si>
  <si>
    <t>Bedrijf</t>
  </si>
  <si>
    <t>Tav_reg1</t>
  </si>
  <si>
    <t>Huurprijs pm lange termijn</t>
  </si>
  <si>
    <t xml:space="preserve">Complete vlag </t>
  </si>
  <si>
    <t>Nederland</t>
  </si>
  <si>
    <t>België</t>
  </si>
  <si>
    <t>Duitsland</t>
  </si>
  <si>
    <t>Overig (neem contact op!)</t>
  </si>
  <si>
    <t>v. 2024.10.27</t>
  </si>
  <si>
    <t>huur piepvlaggen &amp; onderdelen:</t>
  </si>
  <si>
    <t>Huur 1 wedstrijd op 1 dag</t>
  </si>
  <si>
    <t>Huur meerde wedstrijden / meerdaags</t>
  </si>
  <si>
    <t>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</si>
</sst>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8" formatCode="&quot;€&quot;\ #,##0.00;[Red]&quot;€&quot;\ \-#,##0.00"/>
    <numFmt numFmtId="44" formatCode="_ &quot;€&quot;\ * #,##0.00_ ;_ &quot;€&quot;\ * \-#,##0.00_ ;_ &quot;€&quot;\ * &quot;-&quot;??_ ;_ @_ "/>
    <numFmt numFmtId="164" formatCode="&quot;€&quot;\ #,##0.00"/>
  </numFmts>
  <fonts count="22"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i/>
      <sz val="9"/>
      <color theme="1"/>
      <name val="Calibri"/>
      <family val="2"/>
      <scheme val="minor"/>
    </font>
    <font>
      <u/>
      <sz val="11"/>
      <color theme="1"/>
      <name val="Calibri"/>
      <family val="2"/>
      <scheme val="minor"/>
    </font>
    <font>
      <u/>
      <sz val="11"/>
      <color theme="10"/>
      <name val="Calibri"/>
      <family val="2"/>
      <scheme val="minor"/>
    </font>
    <font>
      <sz val="11"/>
      <color theme="0"/>
      <name val="Calibri"/>
      <family val="2"/>
      <scheme val="minor"/>
    </font>
    <font>
      <b/>
      <sz val="11"/>
      <color theme="0"/>
      <name val="Calibri"/>
      <family val="2"/>
      <scheme val="minor"/>
    </font>
    <font>
      <sz val="7"/>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b/>
      <sz val="20"/>
      <color theme="1"/>
      <name val="Calibri"/>
      <family val="2"/>
      <scheme val="minor"/>
    </font>
    <font>
      <b/>
      <i/>
      <sz val="11"/>
      <color theme="1"/>
      <name val="Calibri"/>
      <family val="2"/>
      <scheme val="minor"/>
    </font>
    <font>
      <b/>
      <sz val="14"/>
      <color theme="1"/>
      <name val="Calibri"/>
      <family val="2"/>
      <scheme val="minor"/>
    </font>
    <font>
      <sz val="9"/>
      <color theme="0" tint="-0.14999847407452621"/>
      <name val="Calibri"/>
      <family val="2"/>
      <scheme val="minor"/>
    </font>
    <font>
      <sz val="11"/>
      <color theme="0" tint="-0.14999847407452621"/>
      <name val="Calibri"/>
      <family val="2"/>
      <scheme val="minor"/>
    </font>
    <font>
      <i/>
      <sz val="11"/>
      <color theme="0" tint="-0.14999847407452621"/>
      <name val="Calibri"/>
      <family val="2"/>
      <scheme val="minor"/>
    </font>
    <font>
      <b/>
      <sz val="9"/>
      <color theme="0" tint="-0.14999847407452621"/>
      <name val="Calibri"/>
      <family val="2"/>
      <scheme val="minor"/>
    </font>
    <font>
      <b/>
      <u/>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25">
    <border>
      <left/>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applyNumberFormat="0" applyFill="0" applyBorder="0" applyAlignment="0" applyProtection="0"/>
  </cellStyleXfs>
  <cellXfs count="140">
    <xf numFmtId="0" fontId="0" fillId="0" borderId="0" xfId="0"/>
    <xf numFmtId="0" fontId="0" fillId="0" borderId="0" xfId="0" applyAlignment="1">
      <alignment horizontal="center"/>
    </xf>
    <xf numFmtId="1" fontId="0" fillId="0" borderId="0" xfId="0" applyNumberFormat="1"/>
    <xf numFmtId="14" fontId="0" fillId="0" borderId="0" xfId="0" applyNumberFormat="1"/>
    <xf numFmtId="0" fontId="1" fillId="0" borderId="0" xfId="0" applyFont="1" applyAlignment="1">
      <alignment wrapText="1"/>
    </xf>
    <xf numFmtId="14" fontId="1" fillId="0" borderId="0" xfId="0" applyNumberFormat="1" applyFont="1" applyAlignment="1">
      <alignment wrapText="1"/>
    </xf>
    <xf numFmtId="2" fontId="0" fillId="0" borderId="0" xfId="0" applyNumberFormat="1"/>
    <xf numFmtId="1" fontId="1" fillId="0" borderId="12" xfId="0" applyNumberFormat="1" applyFont="1" applyBorder="1" applyAlignment="1" applyProtection="1">
      <alignment horizontal="center"/>
      <protection locked="0"/>
    </xf>
    <xf numFmtId="0" fontId="1" fillId="0" borderId="12" xfId="0" applyFont="1" applyBorder="1" applyAlignment="1" applyProtection="1">
      <alignment horizontal="center"/>
      <protection locked="0"/>
    </xf>
    <xf numFmtId="164" fontId="0" fillId="0" borderId="0" xfId="0" applyNumberFormat="1"/>
    <xf numFmtId="44" fontId="0" fillId="0" borderId="0" xfId="0" applyNumberFormat="1"/>
    <xf numFmtId="0" fontId="11" fillId="0" borderId="12" xfId="0" applyFont="1" applyBorder="1" applyAlignment="1" applyProtection="1">
      <alignment horizontal="center" vertical="center"/>
      <protection locked="0"/>
    </xf>
    <xf numFmtId="1" fontId="0" fillId="0" borderId="0" xfId="0" applyNumberFormat="1" applyAlignment="1">
      <alignment horizontal="left"/>
    </xf>
    <xf numFmtId="0" fontId="2" fillId="0" borderId="0" xfId="0" applyFont="1"/>
    <xf numFmtId="0" fontId="1" fillId="0" borderId="0" xfId="0" applyFont="1"/>
    <xf numFmtId="0" fontId="1" fillId="0" borderId="0" xfId="0" applyFont="1" applyAlignment="1">
      <alignment horizontal="left"/>
    </xf>
    <xf numFmtId="0" fontId="0" fillId="0" borderId="0" xfId="0" applyAlignment="1">
      <alignment horizontal="left"/>
    </xf>
    <xf numFmtId="44" fontId="3" fillId="0" borderId="0" xfId="0" applyNumberFormat="1" applyFont="1"/>
    <xf numFmtId="0" fontId="3" fillId="0" borderId="0" xfId="0" applyFont="1"/>
    <xf numFmtId="0" fontId="10" fillId="0" borderId="0" xfId="0" applyFont="1" applyAlignment="1">
      <alignment horizontal="left" vertical="center"/>
    </xf>
    <xf numFmtId="0" fontId="10" fillId="0" borderId="0" xfId="0" applyFont="1" applyAlignment="1">
      <alignment horizontal="left"/>
    </xf>
    <xf numFmtId="1" fontId="1" fillId="0" borderId="12" xfId="0" applyNumberFormat="1" applyFont="1" applyBorder="1" applyAlignment="1">
      <alignment horizont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top"/>
    </xf>
    <xf numFmtId="0" fontId="7" fillId="0" borderId="0" xfId="0" applyFont="1" applyAlignment="1">
      <alignment horizontal="left"/>
    </xf>
    <xf numFmtId="0" fontId="7" fillId="0" borderId="0" xfId="0" applyFont="1"/>
    <xf numFmtId="2" fontId="7" fillId="0" borderId="0" xfId="0" applyNumberFormat="1" applyFont="1" applyAlignment="1">
      <alignment horizontal="left" vertical="center"/>
    </xf>
    <xf numFmtId="0" fontId="7" fillId="0" borderId="0" xfId="0" applyFont="1" applyAlignment="1">
      <alignment horizontal="center"/>
    </xf>
    <xf numFmtId="1" fontId="7" fillId="0" borderId="0" xfId="0" applyNumberFormat="1" applyFont="1" applyAlignment="1">
      <alignment horizontal="center"/>
    </xf>
    <xf numFmtId="164" fontId="3" fillId="0" borderId="0" xfId="0" applyNumberFormat="1" applyFont="1"/>
    <xf numFmtId="0" fontId="7" fillId="2" borderId="0" xfId="0" applyFont="1" applyFill="1"/>
    <xf numFmtId="44" fontId="7" fillId="0" borderId="0" xfId="0" applyNumberFormat="1" applyFont="1" applyAlignment="1">
      <alignment horizontal="left"/>
    </xf>
    <xf numFmtId="0" fontId="0" fillId="0" borderId="1" xfId="0" applyBorder="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xf>
    <xf numFmtId="0" fontId="0" fillId="0" borderId="0" xfId="0" applyAlignment="1">
      <alignment horizontal="left" wrapText="1"/>
    </xf>
    <xf numFmtId="0" fontId="1" fillId="0" borderId="0" xfId="0" applyFont="1" applyAlignment="1">
      <alignment horizontal="left" wrapText="1"/>
    </xf>
    <xf numFmtId="0" fontId="3" fillId="0" borderId="0" xfId="0" applyFont="1" applyAlignment="1">
      <alignment horizontal="right" vertical="center"/>
    </xf>
    <xf numFmtId="0" fontId="0" fillId="0" borderId="12" xfId="0" applyBorder="1" applyAlignment="1">
      <alignment vertical="center" wrapText="1"/>
    </xf>
    <xf numFmtId="8" fontId="1" fillId="0" borderId="12" xfId="0" applyNumberFormat="1" applyFont="1" applyBorder="1" applyAlignment="1">
      <alignment vertical="center" wrapText="1"/>
    </xf>
    <xf numFmtId="8" fontId="0" fillId="0" borderId="0" xfId="0" applyNumberFormat="1"/>
    <xf numFmtId="1" fontId="14" fillId="0" borderId="0" xfId="0" applyNumberFormat="1" applyFont="1" applyAlignment="1">
      <alignment horizontal="right"/>
    </xf>
    <xf numFmtId="0" fontId="1" fillId="0" borderId="12" xfId="0" applyFont="1" applyBorder="1" applyAlignment="1">
      <alignment horizontal="center" vertical="center" wrapText="1"/>
    </xf>
    <xf numFmtId="8" fontId="0" fillId="0" borderId="12" xfId="0" applyNumberFormat="1" applyBorder="1" applyAlignment="1">
      <alignment horizontal="center" vertical="center" wrapText="1"/>
    </xf>
    <xf numFmtId="0" fontId="0" fillId="0" borderId="12" xfId="0" applyBorder="1" applyAlignment="1">
      <alignment horizontal="center" vertical="center" wrapText="1"/>
    </xf>
    <xf numFmtId="8" fontId="0" fillId="0" borderId="12" xfId="0" applyNumberFormat="1" applyBorder="1" applyAlignment="1">
      <alignment vertical="center" wrapText="1"/>
    </xf>
    <xf numFmtId="1" fontId="0" fillId="0" borderId="0" xfId="0" applyNumberFormat="1" applyAlignment="1">
      <alignment horizontal="right"/>
    </xf>
    <xf numFmtId="164" fontId="0" fillId="0" borderId="12" xfId="0" applyNumberFormat="1" applyBorder="1" applyAlignment="1">
      <alignment horizontal="center" vertic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15" fillId="0" borderId="0" xfId="0" applyFont="1" applyAlignment="1">
      <alignment vertical="center" wrapText="1"/>
    </xf>
    <xf numFmtId="8" fontId="15" fillId="0" borderId="0" xfId="0" applyNumberFormat="1" applyFont="1"/>
    <xf numFmtId="1" fontId="15" fillId="0" borderId="0" xfId="0" applyNumberFormat="1" applyFont="1" applyAlignment="1">
      <alignment horizontal="center"/>
    </xf>
    <xf numFmtId="1" fontId="1" fillId="0" borderId="12" xfId="0" applyNumberFormat="1" applyFont="1" applyBorder="1" applyAlignment="1" applyProtection="1">
      <alignment horizontal="center" vertical="center" wrapText="1"/>
      <protection locked="0"/>
    </xf>
    <xf numFmtId="8" fontId="0" fillId="0" borderId="20" xfId="0" applyNumberFormat="1" applyBorder="1" applyAlignment="1">
      <alignment horizontal="center" vertical="center" wrapText="1"/>
    </xf>
    <xf numFmtId="8" fontId="0" fillId="0" borderId="21" xfId="0" applyNumberFormat="1" applyBorder="1" applyAlignment="1">
      <alignment horizontal="center" vertical="center" wrapText="1"/>
    </xf>
    <xf numFmtId="0" fontId="0" fillId="0" borderId="21" xfId="0" applyBorder="1" applyAlignment="1">
      <alignment horizontal="center" vertical="center" wrapText="1"/>
    </xf>
    <xf numFmtId="164" fontId="0" fillId="0" borderId="21" xfId="0" applyNumberFormat="1" applyBorder="1" applyAlignment="1">
      <alignment horizontal="center" vertical="center" wrapText="1"/>
    </xf>
    <xf numFmtId="0" fontId="1" fillId="0" borderId="21" xfId="0" applyFont="1" applyBorder="1" applyAlignment="1">
      <alignment horizontal="center" vertical="center" wrapText="1"/>
    </xf>
    <xf numFmtId="8" fontId="0" fillId="0" borderId="20" xfId="0" applyNumberFormat="1" applyBorder="1" applyAlignment="1">
      <alignment vertical="center" wrapText="1"/>
    </xf>
    <xf numFmtId="8" fontId="0" fillId="0" borderId="21" xfId="0" applyNumberFormat="1" applyBorder="1" applyAlignment="1">
      <alignment vertical="center" wrapText="1"/>
    </xf>
    <xf numFmtId="2" fontId="10" fillId="0" borderId="0" xfId="0" applyNumberFormat="1" applyFont="1"/>
    <xf numFmtId="0" fontId="16" fillId="0" borderId="0" xfId="0" applyFont="1" applyAlignment="1">
      <alignment horizontal="left" vertical="center"/>
    </xf>
    <xf numFmtId="0" fontId="17" fillId="0" borderId="0" xfId="0" applyFont="1"/>
    <xf numFmtId="0" fontId="18"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right" vertical="center"/>
    </xf>
    <xf numFmtId="0" fontId="1" fillId="0" borderId="0" xfId="0" applyFont="1" applyAlignment="1">
      <alignment horizontal="center"/>
    </xf>
    <xf numFmtId="0" fontId="1" fillId="0" borderId="13" xfId="0" applyFont="1" applyBorder="1" applyAlignment="1" applyProtection="1">
      <alignment horizontal="center"/>
      <protection locked="0"/>
    </xf>
    <xf numFmtId="9" fontId="1" fillId="0" borderId="0" xfId="0" applyNumberFormat="1" applyFont="1" applyAlignment="1">
      <alignment wrapText="1"/>
    </xf>
    <xf numFmtId="0" fontId="19" fillId="0" borderId="14" xfId="0" applyFont="1" applyBorder="1" applyAlignment="1" applyProtection="1">
      <alignment horizontal="center" vertical="center"/>
      <protection locked="0"/>
    </xf>
    <xf numFmtId="44" fontId="7" fillId="2" borderId="0" xfId="0" applyNumberFormat="1" applyFont="1" applyFill="1"/>
    <xf numFmtId="0" fontId="0" fillId="0" borderId="0" xfId="0" applyAlignment="1">
      <alignment vertical="top" wrapText="1"/>
    </xf>
    <xf numFmtId="0" fontId="8" fillId="0" borderId="0" xfId="0" applyFont="1"/>
    <xf numFmtId="14" fontId="1" fillId="0" borderId="0" xfId="0" applyNumberFormat="1" applyFont="1"/>
    <xf numFmtId="49" fontId="1" fillId="5" borderId="3" xfId="0" applyNumberFormat="1" applyFont="1" applyFill="1" applyBorder="1" applyAlignment="1">
      <alignment vertical="center" wrapText="1"/>
    </xf>
    <xf numFmtId="49" fontId="3" fillId="5" borderId="3" xfId="0" applyNumberFormat="1" applyFont="1" applyFill="1" applyBorder="1" applyAlignment="1">
      <alignment vertical="center"/>
    </xf>
    <xf numFmtId="49" fontId="3" fillId="5" borderId="4" xfId="0" applyNumberFormat="1" applyFont="1" applyFill="1" applyBorder="1" applyAlignment="1">
      <alignment horizontal="right" vertical="center"/>
    </xf>
    <xf numFmtId="0" fontId="9" fillId="0" borderId="0" xfId="0" applyFont="1" applyAlignment="1">
      <alignment horizontal="right"/>
    </xf>
    <xf numFmtId="2" fontId="1" fillId="0" borderId="0" xfId="0" applyNumberFormat="1" applyFont="1"/>
    <xf numFmtId="0" fontId="12" fillId="0" borderId="0" xfId="0" applyFont="1"/>
    <xf numFmtId="0" fontId="0" fillId="0" borderId="0" xfId="0" applyAlignment="1">
      <alignment horizontal="left"/>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center" wrapText="1"/>
      <protection locked="0"/>
    </xf>
    <xf numFmtId="0" fontId="12" fillId="0" borderId="24" xfId="0" applyFont="1" applyBorder="1" applyAlignment="1">
      <alignment horizontal="left"/>
    </xf>
    <xf numFmtId="0" fontId="12" fillId="0" borderId="0" xfId="0" applyFont="1" applyAlignment="1">
      <alignment horizontal="left"/>
    </xf>
    <xf numFmtId="164" fontId="21" fillId="0" borderId="0" xfId="0" applyNumberFormat="1" applyFont="1" applyAlignment="1">
      <alignment horizontal="center"/>
    </xf>
    <xf numFmtId="7" fontId="3"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center"/>
    </xf>
    <xf numFmtId="0" fontId="9" fillId="0" borderId="0" xfId="0" applyFont="1" applyAlignment="1">
      <alignment horizontal="right"/>
    </xf>
    <xf numFmtId="0" fontId="0" fillId="0" borderId="0" xfId="0" applyAlignment="1">
      <alignment horizontal="left" vertical="top" wrapText="1"/>
    </xf>
    <xf numFmtId="14" fontId="0" fillId="0" borderId="2"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14" fontId="0" fillId="0" borderId="4" xfId="0" applyNumberFormat="1" applyBorder="1" applyAlignment="1" applyProtection="1">
      <alignment horizontal="left" vertical="center"/>
      <protection locked="0"/>
    </xf>
    <xf numFmtId="0" fontId="0" fillId="0" borderId="0" xfId="0" applyAlignment="1">
      <alignment horizontal="left" vertical="top"/>
    </xf>
    <xf numFmtId="0" fontId="1" fillId="0" borderId="0" xfId="0" applyFont="1" applyAlignment="1">
      <alignment horizontal="left"/>
    </xf>
    <xf numFmtId="0" fontId="1" fillId="0" borderId="10" xfId="0" applyFont="1" applyBorder="1" applyAlignment="1">
      <alignment horizontal="left"/>
    </xf>
    <xf numFmtId="49" fontId="8" fillId="0" borderId="0" xfId="0" applyNumberFormat="1" applyFont="1" applyAlignment="1" applyProtection="1">
      <alignment horizontal="left"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49" fontId="8" fillId="0" borderId="0" xfId="0" applyNumberFormat="1" applyFont="1" applyAlignment="1" applyProtection="1">
      <alignment horizontal="left" vertical="center" wrapText="1"/>
      <protection locked="0"/>
    </xf>
    <xf numFmtId="0" fontId="0" fillId="0" borderId="8" xfId="0" applyBorder="1" applyAlignment="1">
      <alignment horizontal="center"/>
    </xf>
    <xf numFmtId="49" fontId="6" fillId="0" borderId="2" xfId="1" applyNumberFormat="1" applyBorder="1" applyAlignment="1" applyProtection="1">
      <alignment horizontal="left" vertical="center" wrapText="1"/>
      <protection locked="0"/>
    </xf>
    <xf numFmtId="49" fontId="6" fillId="0" borderId="3" xfId="1" applyNumberFormat="1" applyBorder="1" applyAlignment="1" applyProtection="1">
      <alignment horizontal="left" vertical="center" wrapText="1"/>
      <protection locked="0"/>
    </xf>
    <xf numFmtId="49" fontId="6" fillId="0" borderId="4" xfId="1" applyNumberFormat="1" applyBorder="1" applyAlignment="1" applyProtection="1">
      <alignment horizontal="left" vertical="center" wrapText="1"/>
      <protection locked="0"/>
    </xf>
    <xf numFmtId="7" fontId="14" fillId="0" borderId="0" xfId="0" applyNumberFormat="1" applyFont="1" applyAlignment="1">
      <alignment horizontal="left"/>
    </xf>
    <xf numFmtId="164" fontId="14" fillId="0" borderId="0" xfId="0" applyNumberFormat="1" applyFont="1" applyAlignment="1">
      <alignment horizontal="left"/>
    </xf>
    <xf numFmtId="0" fontId="3" fillId="0" borderId="0" xfId="0" applyFont="1" applyAlignment="1">
      <alignment horizontal="center"/>
    </xf>
    <xf numFmtId="14" fontId="1" fillId="0" borderId="2" xfId="0" applyNumberFormat="1" applyFont="1" applyBorder="1" applyAlignment="1" applyProtection="1">
      <alignment horizontal="left" vertical="center"/>
      <protection locked="0"/>
    </xf>
    <xf numFmtId="14" fontId="1" fillId="0" borderId="3"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44" fontId="7" fillId="2" borderId="0" xfId="0" applyNumberFormat="1" applyFont="1" applyFill="1" applyAlignment="1">
      <alignment horizontal="left"/>
    </xf>
    <xf numFmtId="44" fontId="0" fillId="0" borderId="0" xfId="0" applyNumberFormat="1" applyAlignment="1">
      <alignment horizontal="center"/>
    </xf>
    <xf numFmtId="44" fontId="7" fillId="0" borderId="0" xfId="0" applyNumberFormat="1" applyFont="1" applyAlignment="1">
      <alignment horizontal="left"/>
    </xf>
    <xf numFmtId="1" fontId="1" fillId="0" borderId="22" xfId="0" applyNumberFormat="1" applyFont="1" applyBorder="1" applyAlignment="1">
      <alignment horizontal="center" vertical="center" wrapText="1"/>
    </xf>
    <xf numFmtId="1" fontId="1" fillId="0" borderId="23" xfId="0" applyNumberFormat="1" applyFont="1" applyBorder="1" applyAlignment="1">
      <alignment horizontal="center" vertical="center" wrapText="1"/>
    </xf>
    <xf numFmtId="0" fontId="13" fillId="3" borderId="15" xfId="0" applyFont="1" applyFill="1" applyBorder="1" applyAlignment="1">
      <alignment horizontal="center" wrapText="1"/>
    </xf>
    <xf numFmtId="0" fontId="13" fillId="3" borderId="13" xfId="0" applyFont="1" applyFill="1" applyBorder="1" applyAlignment="1">
      <alignment horizontal="center" wrapText="1"/>
    </xf>
    <xf numFmtId="0" fontId="13" fillId="3" borderId="16" xfId="0" applyFont="1" applyFill="1" applyBorder="1" applyAlignment="1">
      <alignment horizontal="center" wrapText="1"/>
    </xf>
  </cellXfs>
  <cellStyles count="2">
    <cellStyle name="Hyperlink" xfId="1" builtinId="8"/>
    <cellStyle name="Standaard" xfId="0" builtinId="0"/>
  </cellStyles>
  <dxfs count="49">
    <dxf>
      <font>
        <color theme="1"/>
      </font>
    </dxf>
    <dxf>
      <font>
        <color theme="0"/>
      </font>
    </dxf>
    <dxf>
      <font>
        <color theme="0"/>
      </font>
    </dxf>
    <dxf>
      <font>
        <color rgb="FF9C0006"/>
      </font>
      <fill>
        <patternFill>
          <bgColor rgb="FFFFC7CE"/>
        </patternFill>
      </fill>
    </dxf>
    <dxf>
      <font>
        <color auto="1"/>
      </font>
      <border>
        <left style="thin">
          <color auto="1"/>
        </left>
        <right style="thin">
          <color auto="1"/>
        </right>
        <top style="thin">
          <color auto="1"/>
        </top>
        <bottom style="thin">
          <color auto="1"/>
        </bottom>
        <vertical/>
        <horizontal/>
      </border>
    </dxf>
    <dxf>
      <font>
        <b/>
        <i val="0"/>
        <color rgb="FFFF0000"/>
      </font>
      <fill>
        <patternFill>
          <bgColor rgb="FFFFAFAF"/>
        </patternFill>
      </fill>
    </dxf>
    <dxf>
      <font>
        <color theme="1"/>
      </font>
    </dxf>
    <dxf>
      <font>
        <color theme="0"/>
      </font>
    </dxf>
    <dxf>
      <font>
        <color theme="1"/>
      </font>
    </dxf>
    <dxf>
      <font>
        <color theme="1"/>
      </font>
    </dxf>
    <dxf>
      <font>
        <color theme="0" tint="-0.14996795556505021"/>
      </font>
      <border>
        <left/>
        <right/>
        <top/>
        <bottom/>
      </border>
    </dxf>
    <dxf>
      <fill>
        <patternFill patternType="none">
          <bgColor auto="1"/>
        </patternFill>
      </fill>
      <border>
        <left style="hair">
          <color auto="1"/>
        </left>
        <right style="hair">
          <color auto="1"/>
        </right>
        <top style="hair">
          <color auto="1"/>
        </top>
        <bottom style="hair">
          <color auto="1"/>
        </bottom>
        <vertical/>
        <horizontal/>
      </border>
    </dxf>
    <dxf>
      <font>
        <color rgb="FF9C0006"/>
      </font>
      <fill>
        <patternFill>
          <bgColor rgb="FFFFC7CE"/>
        </patternFill>
      </fill>
    </dxf>
    <dxf>
      <font>
        <color theme="0" tint="-0.14996795556505021"/>
      </font>
      <border>
        <left/>
        <right/>
        <top/>
        <bottom/>
      </border>
    </dxf>
    <dxf>
      <font>
        <color theme="0" tint="-0.14996795556505021"/>
      </font>
      <border>
        <left style="hair">
          <color theme="0" tint="-0.24994659260841701"/>
        </left>
        <right style="hair">
          <color theme="0" tint="-0.24994659260841701"/>
        </right>
        <top style="hair">
          <color theme="0" tint="-0.24994659260841701"/>
        </top>
        <bottom style="hair">
          <color theme="0" tint="-0.24994659260841701"/>
        </bottom>
        <vertical/>
        <horizontal/>
      </border>
    </dxf>
    <dxf>
      <font>
        <color theme="0"/>
      </font>
    </dxf>
    <dxf>
      <font>
        <color theme="0"/>
      </font>
    </dxf>
    <dxf>
      <font>
        <strike val="0"/>
        <color theme="1"/>
      </font>
    </dxf>
    <dxf>
      <font>
        <color theme="1"/>
      </font>
      <numFmt numFmtId="2" formatCode="0.00"/>
    </dxf>
    <dxf>
      <font>
        <color theme="0" tint="-0.14996795556505021"/>
      </font>
    </dxf>
    <dxf>
      <font>
        <b val="0"/>
        <i val="0"/>
        <u val="none"/>
        <color theme="1"/>
      </font>
    </dxf>
    <dxf>
      <font>
        <b val="0"/>
        <i val="0"/>
        <u val="none"/>
        <color theme="1"/>
      </font>
    </dxf>
    <dxf>
      <font>
        <color auto="1"/>
      </font>
    </dxf>
    <dxf>
      <font>
        <b/>
        <i val="0"/>
        <color theme="1"/>
      </font>
      <border>
        <left style="hair">
          <color auto="1"/>
        </left>
        <right style="hair">
          <color auto="1"/>
        </right>
        <top style="hair">
          <color auto="1"/>
        </top>
        <bottom style="hair">
          <color auto="1"/>
        </bottom>
      </border>
    </dxf>
    <dxf>
      <fill>
        <patternFill>
          <bgColor rgb="FFFFC7CE"/>
        </patternFill>
      </fill>
      <border>
        <left style="hair">
          <color auto="1"/>
        </left>
        <right style="hair">
          <color auto="1"/>
        </right>
        <bottom style="hair">
          <color auto="1"/>
        </bottom>
        <vertical/>
        <horizontal/>
      </border>
    </dxf>
    <dxf>
      <font>
        <color theme="1"/>
      </font>
      <fill>
        <patternFill patternType="none">
          <bgColor auto="1"/>
        </patternFill>
      </fill>
      <border>
        <left style="hair">
          <color auto="1"/>
        </left>
        <right style="hair">
          <color auto="1"/>
        </right>
        <top style="hair">
          <color auto="1"/>
        </top>
        <bottom style="hair">
          <color auto="1"/>
        </bottom>
        <vertical/>
        <horizontal/>
      </border>
    </dxf>
    <dxf>
      <font>
        <color theme="1"/>
      </font>
      <fill>
        <patternFill>
          <fgColor rgb="FFFF8585"/>
          <bgColor rgb="FFFFC7CE"/>
        </patternFill>
      </fill>
      <border>
        <left style="hair">
          <color auto="1"/>
        </left>
        <right style="hair">
          <color auto="1"/>
        </right>
        <bottom style="hair">
          <color auto="1"/>
        </bottom>
        <vertical/>
        <horizontal/>
      </border>
    </dxf>
    <dxf>
      <font>
        <color theme="0"/>
      </font>
      <fill>
        <patternFill patternType="none">
          <bgColor auto="1"/>
        </patternFill>
      </fill>
      <border>
        <left/>
        <right/>
        <bottom/>
        <vertical/>
        <horizontal/>
      </border>
    </dxf>
    <dxf>
      <font>
        <color theme="0"/>
      </font>
      <fill>
        <patternFill patternType="solid">
          <bgColor theme="0"/>
        </patternFill>
      </fill>
      <border>
        <left/>
        <right/>
        <top style="hair">
          <color auto="1"/>
        </top>
        <bottom/>
        <vertical/>
        <horizontal/>
      </border>
    </dxf>
    <dxf>
      <font>
        <color rgb="FF9C0006"/>
      </font>
      <fill>
        <patternFill>
          <bgColor rgb="FFFFC7CE"/>
        </patternFill>
      </fill>
    </dxf>
    <dxf>
      <font>
        <color rgb="FF9C0006"/>
      </font>
      <fill>
        <patternFill>
          <bgColor rgb="FFFFC7CE"/>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border>
        <left style="thin">
          <color auto="1"/>
        </left>
        <right style="thin">
          <color auto="1"/>
        </right>
        <bottom style="thin">
          <color auto="1"/>
        </bottom>
        <vertical/>
        <horizontal/>
      </border>
    </dxf>
    <dxf>
      <border>
        <left/>
        <right/>
        <top/>
        <bottom/>
        <vertical/>
        <horizontal/>
      </border>
    </dxf>
    <dxf>
      <font>
        <color theme="0"/>
      </font>
      <border>
        <left/>
        <right/>
        <top/>
        <bottom/>
        <vertical/>
        <horizontal/>
      </border>
    </dxf>
    <dxf>
      <border>
        <left/>
        <right/>
        <top/>
        <vertical/>
        <horizontal/>
      </border>
    </dxf>
    <dxf>
      <font>
        <color rgb="FF9C0006"/>
      </font>
      <fill>
        <patternFill>
          <bgColor rgb="FFFFC7CE"/>
        </patternFill>
      </fill>
    </dxf>
    <dxf>
      <font>
        <color theme="1"/>
      </font>
    </dxf>
    <dxf>
      <font>
        <b val="0"/>
        <i val="0"/>
        <strike val="0"/>
        <u val="none"/>
        <color theme="1"/>
      </font>
    </dxf>
    <dxf>
      <font>
        <color auto="1"/>
      </font>
    </dxf>
    <dxf>
      <font>
        <color theme="0"/>
      </font>
    </dxf>
    <dxf>
      <font>
        <color theme="0"/>
      </font>
      <fill>
        <patternFill patternType="none">
          <bgColor auto="1"/>
        </patternFill>
      </fill>
    </dxf>
  </dxfs>
  <tableStyles count="0" defaultTableStyle="TableStyleMedium2" defaultPivotStyle="PivotStyleLight16"/>
  <colors>
    <mruColors>
      <color rgb="FFFFAFAF"/>
      <color rgb="FFFFC7C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jpe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1.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413346</xdr:colOff>
      <xdr:row>1</xdr:row>
      <xdr:rowOff>125895</xdr:rowOff>
    </xdr:from>
    <xdr:to>
      <xdr:col>18</xdr:col>
      <xdr:colOff>157126</xdr:colOff>
      <xdr:row>1</xdr:row>
      <xdr:rowOff>1159564</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389" y="233569"/>
          <a:ext cx="5144040" cy="1033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304801</xdr:colOff>
      <xdr:row>10</xdr:row>
      <xdr:rowOff>114301</xdr:rowOff>
    </xdr:from>
    <xdr:to>
      <xdr:col>2</xdr:col>
      <xdr:colOff>952501</xdr:colOff>
      <xdr:row>10</xdr:row>
      <xdr:rowOff>615603</xdr:rowOff>
    </xdr:to>
    <xdr:pic>
      <xdr:nvPicPr>
        <xdr:cNvPr id="294" name="Afbeelding 293">
          <a:extLst>
            <a:ext uri="{FF2B5EF4-FFF2-40B4-BE49-F238E27FC236}">
              <a16:creationId xmlns:a16="http://schemas.microsoft.com/office/drawing/2014/main" id="{CADCE324-00CE-4752-A519-A3BB3CE58B45}"/>
            </a:ext>
          </a:extLst>
        </xdr:cNvPr>
        <xdr:cNvPicPr>
          <a:picLocks noChangeAspect="1"/>
        </xdr:cNvPicPr>
      </xdr:nvPicPr>
      <xdr:blipFill>
        <a:blip xmlns:r="http://schemas.openxmlformats.org/officeDocument/2006/relationships" r:embed="rId1"/>
        <a:stretch>
          <a:fillRect/>
        </a:stretch>
      </xdr:blipFill>
      <xdr:spPr>
        <a:xfrm>
          <a:off x="981076" y="6848476"/>
          <a:ext cx="647700" cy="501302"/>
        </a:xfrm>
        <a:prstGeom prst="rect">
          <a:avLst/>
        </a:prstGeom>
      </xdr:spPr>
    </xdr:pic>
    <xdr:clientData/>
  </xdr:twoCellAnchor>
  <xdr:twoCellAnchor editAs="oneCell">
    <xdr:from>
      <xdr:col>2</xdr:col>
      <xdr:colOff>171450</xdr:colOff>
      <xdr:row>11</xdr:row>
      <xdr:rowOff>76201</xdr:rowOff>
    </xdr:from>
    <xdr:to>
      <xdr:col>2</xdr:col>
      <xdr:colOff>1123950</xdr:colOff>
      <xdr:row>11</xdr:row>
      <xdr:rowOff>613621</xdr:rowOff>
    </xdr:to>
    <xdr:pic>
      <xdr:nvPicPr>
        <xdr:cNvPr id="295" name="Afbeelding 294">
          <a:extLst>
            <a:ext uri="{FF2B5EF4-FFF2-40B4-BE49-F238E27FC236}">
              <a16:creationId xmlns:a16="http://schemas.microsoft.com/office/drawing/2014/main" id="{C009232D-3C7E-45FF-B465-5C2C49798AE3}"/>
            </a:ext>
          </a:extLst>
        </xdr:cNvPr>
        <xdr:cNvPicPr>
          <a:picLocks noChangeAspect="1"/>
        </xdr:cNvPicPr>
      </xdr:nvPicPr>
      <xdr:blipFill>
        <a:blip xmlns:r="http://schemas.openxmlformats.org/officeDocument/2006/relationships" r:embed="rId2"/>
        <a:stretch>
          <a:fillRect/>
        </a:stretch>
      </xdr:blipFill>
      <xdr:spPr>
        <a:xfrm>
          <a:off x="847725" y="7448551"/>
          <a:ext cx="952500" cy="537420"/>
        </a:xfrm>
        <a:prstGeom prst="rect">
          <a:avLst/>
        </a:prstGeom>
      </xdr:spPr>
    </xdr:pic>
    <xdr:clientData/>
  </xdr:twoCellAnchor>
  <xdr:twoCellAnchor editAs="oneCell">
    <xdr:from>
      <xdr:col>2</xdr:col>
      <xdr:colOff>295275</xdr:colOff>
      <xdr:row>12</xdr:row>
      <xdr:rowOff>57151</xdr:rowOff>
    </xdr:from>
    <xdr:to>
      <xdr:col>2</xdr:col>
      <xdr:colOff>1000125</xdr:colOff>
      <xdr:row>12</xdr:row>
      <xdr:rowOff>615157</xdr:rowOff>
    </xdr:to>
    <xdr:pic>
      <xdr:nvPicPr>
        <xdr:cNvPr id="296" name="Afbeelding 295">
          <a:extLst>
            <a:ext uri="{FF2B5EF4-FFF2-40B4-BE49-F238E27FC236}">
              <a16:creationId xmlns:a16="http://schemas.microsoft.com/office/drawing/2014/main" id="{80BC66FF-3F8B-480D-AC31-CA0EFE879B67}"/>
            </a:ext>
          </a:extLst>
        </xdr:cNvPr>
        <xdr:cNvPicPr>
          <a:picLocks noChangeAspect="1"/>
        </xdr:cNvPicPr>
      </xdr:nvPicPr>
      <xdr:blipFill>
        <a:blip xmlns:r="http://schemas.openxmlformats.org/officeDocument/2006/relationships" r:embed="rId3"/>
        <a:stretch>
          <a:fillRect/>
        </a:stretch>
      </xdr:blipFill>
      <xdr:spPr>
        <a:xfrm>
          <a:off x="971550" y="8067676"/>
          <a:ext cx="704850" cy="558006"/>
        </a:xfrm>
        <a:prstGeom prst="rect">
          <a:avLst/>
        </a:prstGeom>
      </xdr:spPr>
    </xdr:pic>
    <xdr:clientData/>
  </xdr:twoCellAnchor>
  <xdr:twoCellAnchor editAs="oneCell">
    <xdr:from>
      <xdr:col>2</xdr:col>
      <xdr:colOff>200026</xdr:colOff>
      <xdr:row>13</xdr:row>
      <xdr:rowOff>38101</xdr:rowOff>
    </xdr:from>
    <xdr:to>
      <xdr:col>2</xdr:col>
      <xdr:colOff>1090894</xdr:colOff>
      <xdr:row>13</xdr:row>
      <xdr:rowOff>609601</xdr:rowOff>
    </xdr:to>
    <xdr:pic>
      <xdr:nvPicPr>
        <xdr:cNvPr id="297" name="Afbeelding 296">
          <a:extLst>
            <a:ext uri="{FF2B5EF4-FFF2-40B4-BE49-F238E27FC236}">
              <a16:creationId xmlns:a16="http://schemas.microsoft.com/office/drawing/2014/main" id="{2D2805F1-42A6-42CA-83AB-417BEF78340B}"/>
            </a:ext>
          </a:extLst>
        </xdr:cNvPr>
        <xdr:cNvPicPr>
          <a:picLocks noChangeAspect="1"/>
        </xdr:cNvPicPr>
      </xdr:nvPicPr>
      <xdr:blipFill>
        <a:blip xmlns:r="http://schemas.openxmlformats.org/officeDocument/2006/relationships" r:embed="rId4"/>
        <a:stretch>
          <a:fillRect/>
        </a:stretch>
      </xdr:blipFill>
      <xdr:spPr>
        <a:xfrm>
          <a:off x="876301" y="8686801"/>
          <a:ext cx="890868" cy="571500"/>
        </a:xfrm>
        <a:prstGeom prst="rect">
          <a:avLst/>
        </a:prstGeom>
      </xdr:spPr>
    </xdr:pic>
    <xdr:clientData/>
  </xdr:twoCellAnchor>
  <xdr:twoCellAnchor editAs="oneCell">
    <xdr:from>
      <xdr:col>2</xdr:col>
      <xdr:colOff>257175</xdr:colOff>
      <xdr:row>14</xdr:row>
      <xdr:rowOff>104775</xdr:rowOff>
    </xdr:from>
    <xdr:to>
      <xdr:col>2</xdr:col>
      <xdr:colOff>895350</xdr:colOff>
      <xdr:row>14</xdr:row>
      <xdr:rowOff>582474</xdr:rowOff>
    </xdr:to>
    <xdr:pic>
      <xdr:nvPicPr>
        <xdr:cNvPr id="298" name="Afbeelding 297">
          <a:extLst>
            <a:ext uri="{FF2B5EF4-FFF2-40B4-BE49-F238E27FC236}">
              <a16:creationId xmlns:a16="http://schemas.microsoft.com/office/drawing/2014/main" id="{EE9074FB-49DF-4BBA-B740-DB515BFCFA25}"/>
            </a:ext>
          </a:extLst>
        </xdr:cNvPr>
        <xdr:cNvPicPr>
          <a:picLocks noChangeAspect="1"/>
        </xdr:cNvPicPr>
      </xdr:nvPicPr>
      <xdr:blipFill>
        <a:blip xmlns:r="http://schemas.openxmlformats.org/officeDocument/2006/relationships" r:embed="rId5"/>
        <a:stretch>
          <a:fillRect/>
        </a:stretch>
      </xdr:blipFill>
      <xdr:spPr>
        <a:xfrm>
          <a:off x="933450" y="9391650"/>
          <a:ext cx="638175" cy="477699"/>
        </a:xfrm>
        <a:prstGeom prst="rect">
          <a:avLst/>
        </a:prstGeom>
      </xdr:spPr>
    </xdr:pic>
    <xdr:clientData/>
  </xdr:twoCellAnchor>
  <xdr:oneCellAnchor>
    <xdr:from>
      <xdr:col>2</xdr:col>
      <xdr:colOff>114300</xdr:colOff>
      <xdr:row>19</xdr:row>
      <xdr:rowOff>63611</xdr:rowOff>
    </xdr:from>
    <xdr:ext cx="1038225" cy="536334"/>
    <xdr:pic>
      <xdr:nvPicPr>
        <xdr:cNvPr id="302" name="Afbeelding 301">
          <a:extLst>
            <a:ext uri="{FF2B5EF4-FFF2-40B4-BE49-F238E27FC236}">
              <a16:creationId xmlns:a16="http://schemas.microsoft.com/office/drawing/2014/main" id="{E5882F02-BE80-4766-A6B9-9EA1071D227F}"/>
            </a:ext>
          </a:extLst>
        </xdr:cNvPr>
        <xdr:cNvPicPr>
          <a:picLocks noChangeAspect="1"/>
        </xdr:cNvPicPr>
      </xdr:nvPicPr>
      <xdr:blipFill>
        <a:blip xmlns:r="http://schemas.openxmlformats.org/officeDocument/2006/relationships" r:embed="rId6"/>
        <a:stretch>
          <a:fillRect/>
        </a:stretch>
      </xdr:blipFill>
      <xdr:spPr>
        <a:xfrm>
          <a:off x="790575" y="12122261"/>
          <a:ext cx="1038225" cy="536334"/>
        </a:xfrm>
        <a:prstGeom prst="rect">
          <a:avLst/>
        </a:prstGeom>
      </xdr:spPr>
    </xdr:pic>
    <xdr:clientData/>
  </xdr:oneCellAnchor>
  <xdr:oneCellAnchor>
    <xdr:from>
      <xdr:col>2</xdr:col>
      <xdr:colOff>180976</xdr:colOff>
      <xdr:row>18</xdr:row>
      <xdr:rowOff>120761</xdr:rowOff>
    </xdr:from>
    <xdr:ext cx="857250" cy="442845"/>
    <xdr:pic>
      <xdr:nvPicPr>
        <xdr:cNvPr id="303" name="Afbeelding 302">
          <a:extLst>
            <a:ext uri="{FF2B5EF4-FFF2-40B4-BE49-F238E27FC236}">
              <a16:creationId xmlns:a16="http://schemas.microsoft.com/office/drawing/2014/main" id="{980A0FED-3911-4AA5-A8B0-1D860DDE5DDD}"/>
            </a:ext>
          </a:extLst>
        </xdr:cNvPr>
        <xdr:cNvPicPr>
          <a:picLocks noChangeAspect="1"/>
        </xdr:cNvPicPr>
      </xdr:nvPicPr>
      <xdr:blipFill>
        <a:blip xmlns:r="http://schemas.openxmlformats.org/officeDocument/2006/relationships" r:embed="rId6"/>
        <a:stretch>
          <a:fillRect/>
        </a:stretch>
      </xdr:blipFill>
      <xdr:spPr>
        <a:xfrm>
          <a:off x="857251" y="11541236"/>
          <a:ext cx="857250" cy="442845"/>
        </a:xfrm>
        <a:prstGeom prst="rect">
          <a:avLst/>
        </a:prstGeom>
      </xdr:spPr>
    </xdr:pic>
    <xdr:clientData/>
  </xdr:oneCellAnchor>
  <xdr:twoCellAnchor editAs="oneCell">
    <xdr:from>
      <xdr:col>2</xdr:col>
      <xdr:colOff>257174</xdr:colOff>
      <xdr:row>5</xdr:row>
      <xdr:rowOff>38100</xdr:rowOff>
    </xdr:from>
    <xdr:to>
      <xdr:col>2</xdr:col>
      <xdr:colOff>1190625</xdr:colOff>
      <xdr:row>5</xdr:row>
      <xdr:rowOff>572640</xdr:rowOff>
    </xdr:to>
    <xdr:pic>
      <xdr:nvPicPr>
        <xdr:cNvPr id="304" name="Afbeelding 303">
          <a:extLst>
            <a:ext uri="{FF2B5EF4-FFF2-40B4-BE49-F238E27FC236}">
              <a16:creationId xmlns:a16="http://schemas.microsoft.com/office/drawing/2014/main" id="{69328B36-A18F-4617-865E-2B1A6E886BF9}"/>
            </a:ext>
          </a:extLst>
        </xdr:cNvPr>
        <xdr:cNvPicPr>
          <a:picLocks noChangeAspect="1"/>
        </xdr:cNvPicPr>
      </xdr:nvPicPr>
      <xdr:blipFill>
        <a:blip xmlns:r="http://schemas.openxmlformats.org/officeDocument/2006/relationships" r:embed="rId7"/>
        <a:stretch>
          <a:fillRect/>
        </a:stretch>
      </xdr:blipFill>
      <xdr:spPr>
        <a:xfrm>
          <a:off x="933449" y="1323975"/>
          <a:ext cx="933451" cy="534540"/>
        </a:xfrm>
        <a:prstGeom prst="rect">
          <a:avLst/>
        </a:prstGeom>
      </xdr:spPr>
    </xdr:pic>
    <xdr:clientData/>
  </xdr:twoCellAnchor>
  <xdr:twoCellAnchor editAs="oneCell">
    <xdr:from>
      <xdr:col>2</xdr:col>
      <xdr:colOff>266700</xdr:colOff>
      <xdr:row>6</xdr:row>
      <xdr:rowOff>6676</xdr:rowOff>
    </xdr:from>
    <xdr:to>
      <xdr:col>2</xdr:col>
      <xdr:colOff>1110704</xdr:colOff>
      <xdr:row>6</xdr:row>
      <xdr:rowOff>578176</xdr:rowOff>
    </xdr:to>
    <xdr:pic>
      <xdr:nvPicPr>
        <xdr:cNvPr id="305" name="Afbeelding 304">
          <a:extLst>
            <a:ext uri="{FF2B5EF4-FFF2-40B4-BE49-F238E27FC236}">
              <a16:creationId xmlns:a16="http://schemas.microsoft.com/office/drawing/2014/main" id="{A97A3907-2288-4FE0-B1D1-0FC2E2638F77}"/>
            </a:ext>
          </a:extLst>
        </xdr:cNvPr>
        <xdr:cNvPicPr>
          <a:picLocks noChangeAspect="1"/>
        </xdr:cNvPicPr>
      </xdr:nvPicPr>
      <xdr:blipFill>
        <a:blip xmlns:r="http://schemas.openxmlformats.org/officeDocument/2006/relationships" r:embed="rId8"/>
        <a:stretch>
          <a:fillRect/>
        </a:stretch>
      </xdr:blipFill>
      <xdr:spPr>
        <a:xfrm>
          <a:off x="942975" y="1930726"/>
          <a:ext cx="844004" cy="571500"/>
        </a:xfrm>
        <a:prstGeom prst="rect">
          <a:avLst/>
        </a:prstGeom>
      </xdr:spPr>
    </xdr:pic>
    <xdr:clientData/>
  </xdr:twoCellAnchor>
  <xdr:twoCellAnchor editAs="oneCell">
    <xdr:from>
      <xdr:col>2</xdr:col>
      <xdr:colOff>240269</xdr:colOff>
      <xdr:row>7</xdr:row>
      <xdr:rowOff>76200</xdr:rowOff>
    </xdr:from>
    <xdr:to>
      <xdr:col>2</xdr:col>
      <xdr:colOff>1038225</xdr:colOff>
      <xdr:row>7</xdr:row>
      <xdr:rowOff>595068</xdr:rowOff>
    </xdr:to>
    <xdr:pic>
      <xdr:nvPicPr>
        <xdr:cNvPr id="306" name="Afbeelding 305">
          <a:extLst>
            <a:ext uri="{FF2B5EF4-FFF2-40B4-BE49-F238E27FC236}">
              <a16:creationId xmlns:a16="http://schemas.microsoft.com/office/drawing/2014/main" id="{8E5D24EB-479F-49E5-B895-CD65D669F455}"/>
            </a:ext>
          </a:extLst>
        </xdr:cNvPr>
        <xdr:cNvPicPr>
          <a:picLocks noChangeAspect="1"/>
        </xdr:cNvPicPr>
      </xdr:nvPicPr>
      <xdr:blipFill>
        <a:blip xmlns:r="http://schemas.openxmlformats.org/officeDocument/2006/relationships" r:embed="rId9"/>
        <a:stretch>
          <a:fillRect/>
        </a:stretch>
      </xdr:blipFill>
      <xdr:spPr>
        <a:xfrm>
          <a:off x="916544" y="2638425"/>
          <a:ext cx="797956" cy="518868"/>
        </a:xfrm>
        <a:prstGeom prst="rect">
          <a:avLst/>
        </a:prstGeom>
      </xdr:spPr>
    </xdr:pic>
    <xdr:clientData/>
  </xdr:twoCellAnchor>
  <xdr:twoCellAnchor editAs="oneCell">
    <xdr:from>
      <xdr:col>2</xdr:col>
      <xdr:colOff>219074</xdr:colOff>
      <xdr:row>8</xdr:row>
      <xdr:rowOff>39610</xdr:rowOff>
    </xdr:from>
    <xdr:to>
      <xdr:col>2</xdr:col>
      <xdr:colOff>1181100</xdr:colOff>
      <xdr:row>8</xdr:row>
      <xdr:rowOff>614340</xdr:rowOff>
    </xdr:to>
    <xdr:pic>
      <xdr:nvPicPr>
        <xdr:cNvPr id="307" name="Afbeelding 306">
          <a:extLst>
            <a:ext uri="{FF2B5EF4-FFF2-40B4-BE49-F238E27FC236}">
              <a16:creationId xmlns:a16="http://schemas.microsoft.com/office/drawing/2014/main" id="{65269DE1-9922-4D6C-9153-826876D8857C}"/>
            </a:ext>
          </a:extLst>
        </xdr:cNvPr>
        <xdr:cNvPicPr>
          <a:picLocks noChangeAspect="1"/>
        </xdr:cNvPicPr>
      </xdr:nvPicPr>
      <xdr:blipFill>
        <a:blip xmlns:r="http://schemas.openxmlformats.org/officeDocument/2006/relationships" r:embed="rId10"/>
        <a:stretch>
          <a:fillRect/>
        </a:stretch>
      </xdr:blipFill>
      <xdr:spPr>
        <a:xfrm>
          <a:off x="895349" y="3240010"/>
          <a:ext cx="962026" cy="574730"/>
        </a:xfrm>
        <a:prstGeom prst="rect">
          <a:avLst/>
        </a:prstGeom>
      </xdr:spPr>
    </xdr:pic>
    <xdr:clientData/>
  </xdr:twoCellAnchor>
  <xdr:twoCellAnchor editAs="oneCell">
    <xdr:from>
      <xdr:col>2</xdr:col>
      <xdr:colOff>228600</xdr:colOff>
      <xdr:row>9</xdr:row>
      <xdr:rowOff>13134</xdr:rowOff>
    </xdr:from>
    <xdr:to>
      <xdr:col>2</xdr:col>
      <xdr:colOff>1076325</xdr:colOff>
      <xdr:row>9</xdr:row>
      <xdr:rowOff>580679</xdr:rowOff>
    </xdr:to>
    <xdr:pic>
      <xdr:nvPicPr>
        <xdr:cNvPr id="308" name="Afbeelding 307">
          <a:extLst>
            <a:ext uri="{FF2B5EF4-FFF2-40B4-BE49-F238E27FC236}">
              <a16:creationId xmlns:a16="http://schemas.microsoft.com/office/drawing/2014/main" id="{2B334040-0379-47B5-B8CE-22D29D82C971}"/>
            </a:ext>
          </a:extLst>
        </xdr:cNvPr>
        <xdr:cNvPicPr>
          <a:picLocks noChangeAspect="1"/>
        </xdr:cNvPicPr>
      </xdr:nvPicPr>
      <xdr:blipFill>
        <a:blip xmlns:r="http://schemas.openxmlformats.org/officeDocument/2006/relationships" r:embed="rId11"/>
        <a:stretch>
          <a:fillRect/>
        </a:stretch>
      </xdr:blipFill>
      <xdr:spPr>
        <a:xfrm>
          <a:off x="904875" y="3851709"/>
          <a:ext cx="847725" cy="567545"/>
        </a:xfrm>
        <a:prstGeom prst="rect">
          <a:avLst/>
        </a:prstGeom>
      </xdr:spPr>
    </xdr:pic>
    <xdr:clientData/>
  </xdr:twoCellAnchor>
  <xdr:twoCellAnchor editAs="oneCell">
    <xdr:from>
      <xdr:col>2</xdr:col>
      <xdr:colOff>38100</xdr:colOff>
      <xdr:row>21</xdr:row>
      <xdr:rowOff>123825</xdr:rowOff>
    </xdr:from>
    <xdr:to>
      <xdr:col>2</xdr:col>
      <xdr:colOff>1238250</xdr:colOff>
      <xdr:row>21</xdr:row>
      <xdr:rowOff>604942</xdr:rowOff>
    </xdr:to>
    <xdr:pic>
      <xdr:nvPicPr>
        <xdr:cNvPr id="309" name="Afbeelding 308">
          <a:extLst>
            <a:ext uri="{FF2B5EF4-FFF2-40B4-BE49-F238E27FC236}">
              <a16:creationId xmlns:a16="http://schemas.microsoft.com/office/drawing/2014/main" id="{CB156859-D276-4892-8FB9-066E7D2BE61E}"/>
            </a:ext>
          </a:extLst>
        </xdr:cNvPr>
        <xdr:cNvPicPr>
          <a:picLocks noChangeAspect="1"/>
        </xdr:cNvPicPr>
      </xdr:nvPicPr>
      <xdr:blipFill>
        <a:blip xmlns:r="http://schemas.openxmlformats.org/officeDocument/2006/relationships" r:embed="rId12"/>
        <a:stretch>
          <a:fillRect/>
        </a:stretch>
      </xdr:blipFill>
      <xdr:spPr>
        <a:xfrm>
          <a:off x="1038225" y="11077575"/>
          <a:ext cx="1200150" cy="481117"/>
        </a:xfrm>
        <a:prstGeom prst="rect">
          <a:avLst/>
        </a:prstGeom>
      </xdr:spPr>
    </xdr:pic>
    <xdr:clientData/>
  </xdr:twoCellAnchor>
  <xdr:twoCellAnchor editAs="oneCell">
    <xdr:from>
      <xdr:col>2</xdr:col>
      <xdr:colOff>228599</xdr:colOff>
      <xdr:row>22</xdr:row>
      <xdr:rowOff>47625</xdr:rowOff>
    </xdr:from>
    <xdr:to>
      <xdr:col>2</xdr:col>
      <xdr:colOff>1095374</xdr:colOff>
      <xdr:row>22</xdr:row>
      <xdr:rowOff>605686</xdr:rowOff>
    </xdr:to>
    <xdr:pic>
      <xdr:nvPicPr>
        <xdr:cNvPr id="310" name="Afbeelding 309">
          <a:extLst>
            <a:ext uri="{FF2B5EF4-FFF2-40B4-BE49-F238E27FC236}">
              <a16:creationId xmlns:a16="http://schemas.microsoft.com/office/drawing/2014/main" id="{BF3843C8-CCDA-40B7-B8E4-2163975FBB1E}"/>
            </a:ext>
          </a:extLst>
        </xdr:cNvPr>
        <xdr:cNvPicPr>
          <a:picLocks noChangeAspect="1"/>
        </xdr:cNvPicPr>
      </xdr:nvPicPr>
      <xdr:blipFill>
        <a:blip xmlns:r="http://schemas.openxmlformats.org/officeDocument/2006/relationships" r:embed="rId13"/>
        <a:stretch>
          <a:fillRect/>
        </a:stretch>
      </xdr:blipFill>
      <xdr:spPr>
        <a:xfrm>
          <a:off x="904874" y="12182475"/>
          <a:ext cx="866775" cy="558061"/>
        </a:xfrm>
        <a:prstGeom prst="rect">
          <a:avLst/>
        </a:prstGeom>
      </xdr:spPr>
    </xdr:pic>
    <xdr:clientData/>
  </xdr:twoCellAnchor>
  <xdr:twoCellAnchor editAs="oneCell">
    <xdr:from>
      <xdr:col>2</xdr:col>
      <xdr:colOff>295275</xdr:colOff>
      <xdr:row>23</xdr:row>
      <xdr:rowOff>104776</xdr:rowOff>
    </xdr:from>
    <xdr:to>
      <xdr:col>2</xdr:col>
      <xdr:colOff>990599</xdr:colOff>
      <xdr:row>23</xdr:row>
      <xdr:rowOff>583937</xdr:rowOff>
    </xdr:to>
    <xdr:pic>
      <xdr:nvPicPr>
        <xdr:cNvPr id="311" name="Afbeelding 310">
          <a:extLst>
            <a:ext uri="{FF2B5EF4-FFF2-40B4-BE49-F238E27FC236}">
              <a16:creationId xmlns:a16="http://schemas.microsoft.com/office/drawing/2014/main" id="{5E64CF45-E350-43FB-B7E7-C13F7B11EBD7}"/>
            </a:ext>
          </a:extLst>
        </xdr:cNvPr>
        <xdr:cNvPicPr>
          <a:picLocks noChangeAspect="1"/>
        </xdr:cNvPicPr>
      </xdr:nvPicPr>
      <xdr:blipFill>
        <a:blip xmlns:r="http://schemas.openxmlformats.org/officeDocument/2006/relationships" r:embed="rId14"/>
        <a:stretch>
          <a:fillRect/>
        </a:stretch>
      </xdr:blipFill>
      <xdr:spPr>
        <a:xfrm>
          <a:off x="971550" y="12877801"/>
          <a:ext cx="695324" cy="479161"/>
        </a:xfrm>
        <a:prstGeom prst="rect">
          <a:avLst/>
        </a:prstGeom>
      </xdr:spPr>
    </xdr:pic>
    <xdr:clientData/>
  </xdr:twoCellAnchor>
  <xdr:twoCellAnchor editAs="oneCell">
    <xdr:from>
      <xdr:col>2</xdr:col>
      <xdr:colOff>66675</xdr:colOff>
      <xdr:row>31</xdr:row>
      <xdr:rowOff>133350</xdr:rowOff>
    </xdr:from>
    <xdr:to>
      <xdr:col>2</xdr:col>
      <xdr:colOff>1162050</xdr:colOff>
      <xdr:row>31</xdr:row>
      <xdr:rowOff>579785</xdr:rowOff>
    </xdr:to>
    <xdr:pic>
      <xdr:nvPicPr>
        <xdr:cNvPr id="312" name="Afbeelding 311">
          <a:extLst>
            <a:ext uri="{FF2B5EF4-FFF2-40B4-BE49-F238E27FC236}">
              <a16:creationId xmlns:a16="http://schemas.microsoft.com/office/drawing/2014/main" id="{5CC3495E-0BC8-4833-8E65-B191997FC9DC}"/>
            </a:ext>
          </a:extLst>
        </xdr:cNvPr>
        <xdr:cNvPicPr>
          <a:picLocks noChangeAspect="1"/>
        </xdr:cNvPicPr>
      </xdr:nvPicPr>
      <xdr:blipFill>
        <a:blip xmlns:r="http://schemas.openxmlformats.org/officeDocument/2006/relationships" r:embed="rId15"/>
        <a:stretch>
          <a:fillRect/>
        </a:stretch>
      </xdr:blipFill>
      <xdr:spPr>
        <a:xfrm>
          <a:off x="7105650" y="5591175"/>
          <a:ext cx="1095375" cy="446435"/>
        </a:xfrm>
        <a:prstGeom prst="rect">
          <a:avLst/>
        </a:prstGeom>
      </xdr:spPr>
    </xdr:pic>
    <xdr:clientData/>
  </xdr:twoCellAnchor>
  <xdr:twoCellAnchor editAs="oneCell">
    <xdr:from>
      <xdr:col>2</xdr:col>
      <xdr:colOff>228601</xdr:colOff>
      <xdr:row>28</xdr:row>
      <xdr:rowOff>76200</xdr:rowOff>
    </xdr:from>
    <xdr:to>
      <xdr:col>2</xdr:col>
      <xdr:colOff>971551</xdr:colOff>
      <xdr:row>28</xdr:row>
      <xdr:rowOff>607449</xdr:rowOff>
    </xdr:to>
    <xdr:pic>
      <xdr:nvPicPr>
        <xdr:cNvPr id="315" name="Afbeelding 314">
          <a:extLst>
            <a:ext uri="{FF2B5EF4-FFF2-40B4-BE49-F238E27FC236}">
              <a16:creationId xmlns:a16="http://schemas.microsoft.com/office/drawing/2014/main" id="{639BDEEE-17BE-4291-A937-5B90E35B409C}"/>
            </a:ext>
          </a:extLst>
        </xdr:cNvPr>
        <xdr:cNvPicPr>
          <a:picLocks noChangeAspect="1"/>
        </xdr:cNvPicPr>
      </xdr:nvPicPr>
      <xdr:blipFill>
        <a:blip xmlns:r="http://schemas.openxmlformats.org/officeDocument/2006/relationships" r:embed="rId16"/>
        <a:stretch>
          <a:fillRect/>
        </a:stretch>
      </xdr:blipFill>
      <xdr:spPr>
        <a:xfrm>
          <a:off x="7267576" y="3619500"/>
          <a:ext cx="742950" cy="531249"/>
        </a:xfrm>
        <a:prstGeom prst="rect">
          <a:avLst/>
        </a:prstGeom>
      </xdr:spPr>
    </xdr:pic>
    <xdr:clientData/>
  </xdr:twoCellAnchor>
  <xdr:twoCellAnchor editAs="oneCell">
    <xdr:from>
      <xdr:col>2</xdr:col>
      <xdr:colOff>257176</xdr:colOff>
      <xdr:row>29</xdr:row>
      <xdr:rowOff>57151</xdr:rowOff>
    </xdr:from>
    <xdr:to>
      <xdr:col>2</xdr:col>
      <xdr:colOff>1000125</xdr:colOff>
      <xdr:row>29</xdr:row>
      <xdr:rowOff>620354</xdr:rowOff>
    </xdr:to>
    <xdr:pic>
      <xdr:nvPicPr>
        <xdr:cNvPr id="316" name="Afbeelding 315">
          <a:extLst>
            <a:ext uri="{FF2B5EF4-FFF2-40B4-BE49-F238E27FC236}">
              <a16:creationId xmlns:a16="http://schemas.microsoft.com/office/drawing/2014/main" id="{7F0CEFE1-971B-49AE-ADB2-28A007BA2686}"/>
            </a:ext>
          </a:extLst>
        </xdr:cNvPr>
        <xdr:cNvPicPr>
          <a:picLocks noChangeAspect="1"/>
        </xdr:cNvPicPr>
      </xdr:nvPicPr>
      <xdr:blipFill>
        <a:blip xmlns:r="http://schemas.openxmlformats.org/officeDocument/2006/relationships" r:embed="rId17"/>
        <a:stretch>
          <a:fillRect/>
        </a:stretch>
      </xdr:blipFill>
      <xdr:spPr>
        <a:xfrm>
          <a:off x="7296151" y="4238626"/>
          <a:ext cx="742949" cy="563203"/>
        </a:xfrm>
        <a:prstGeom prst="rect">
          <a:avLst/>
        </a:prstGeom>
      </xdr:spPr>
    </xdr:pic>
    <xdr:clientData/>
  </xdr:twoCellAnchor>
  <xdr:twoCellAnchor editAs="oneCell">
    <xdr:from>
      <xdr:col>2</xdr:col>
      <xdr:colOff>247652</xdr:colOff>
      <xdr:row>30</xdr:row>
      <xdr:rowOff>57151</xdr:rowOff>
    </xdr:from>
    <xdr:to>
      <xdr:col>2</xdr:col>
      <xdr:colOff>1057276</xdr:colOff>
      <xdr:row>30</xdr:row>
      <xdr:rowOff>566780</xdr:rowOff>
    </xdr:to>
    <xdr:pic>
      <xdr:nvPicPr>
        <xdr:cNvPr id="317" name="Afbeelding 316">
          <a:extLst>
            <a:ext uri="{FF2B5EF4-FFF2-40B4-BE49-F238E27FC236}">
              <a16:creationId xmlns:a16="http://schemas.microsoft.com/office/drawing/2014/main" id="{F459BA31-746A-4371-9D90-F7F29D38B460}"/>
            </a:ext>
          </a:extLst>
        </xdr:cNvPr>
        <xdr:cNvPicPr>
          <a:picLocks noChangeAspect="1"/>
        </xdr:cNvPicPr>
      </xdr:nvPicPr>
      <xdr:blipFill>
        <a:blip xmlns:r="http://schemas.openxmlformats.org/officeDocument/2006/relationships" r:embed="rId18"/>
        <a:stretch>
          <a:fillRect/>
        </a:stretch>
      </xdr:blipFill>
      <xdr:spPr>
        <a:xfrm>
          <a:off x="7286627" y="4876801"/>
          <a:ext cx="809624" cy="509629"/>
        </a:xfrm>
        <a:prstGeom prst="rect">
          <a:avLst/>
        </a:prstGeom>
      </xdr:spPr>
    </xdr:pic>
    <xdr:clientData/>
  </xdr:twoCellAnchor>
  <xdr:twoCellAnchor editAs="oneCell">
    <xdr:from>
      <xdr:col>2</xdr:col>
      <xdr:colOff>285751</xdr:colOff>
      <xdr:row>36</xdr:row>
      <xdr:rowOff>57150</xdr:rowOff>
    </xdr:from>
    <xdr:to>
      <xdr:col>2</xdr:col>
      <xdr:colOff>872875</xdr:colOff>
      <xdr:row>36</xdr:row>
      <xdr:rowOff>590550</xdr:rowOff>
    </xdr:to>
    <xdr:pic>
      <xdr:nvPicPr>
        <xdr:cNvPr id="319" name="Afbeelding 318">
          <a:extLst>
            <a:ext uri="{FF2B5EF4-FFF2-40B4-BE49-F238E27FC236}">
              <a16:creationId xmlns:a16="http://schemas.microsoft.com/office/drawing/2014/main" id="{31CF5390-6810-43AC-BA2D-54393E1F0EAA}"/>
            </a:ext>
          </a:extLst>
        </xdr:cNvPr>
        <xdr:cNvPicPr>
          <a:picLocks noChangeAspect="1"/>
        </xdr:cNvPicPr>
      </xdr:nvPicPr>
      <xdr:blipFill>
        <a:blip xmlns:r="http://schemas.openxmlformats.org/officeDocument/2006/relationships" r:embed="rId19"/>
        <a:stretch>
          <a:fillRect/>
        </a:stretch>
      </xdr:blipFill>
      <xdr:spPr>
        <a:xfrm>
          <a:off x="7324726" y="8705850"/>
          <a:ext cx="587124" cy="533400"/>
        </a:xfrm>
        <a:prstGeom prst="rect">
          <a:avLst/>
        </a:prstGeom>
      </xdr:spPr>
    </xdr:pic>
    <xdr:clientData/>
  </xdr:twoCellAnchor>
  <xdr:oneCellAnchor>
    <xdr:from>
      <xdr:col>2</xdr:col>
      <xdr:colOff>142875</xdr:colOff>
      <xdr:row>36</xdr:row>
      <xdr:rowOff>54086</xdr:rowOff>
    </xdr:from>
    <xdr:ext cx="1038225" cy="536334"/>
    <xdr:pic>
      <xdr:nvPicPr>
        <xdr:cNvPr id="321" name="Afbeelding 320">
          <a:extLst>
            <a:ext uri="{FF2B5EF4-FFF2-40B4-BE49-F238E27FC236}">
              <a16:creationId xmlns:a16="http://schemas.microsoft.com/office/drawing/2014/main" id="{4AFFF2DB-C1BE-4FCA-B83A-54791E455FA9}"/>
            </a:ext>
          </a:extLst>
        </xdr:cNvPr>
        <xdr:cNvPicPr>
          <a:picLocks noChangeAspect="1"/>
        </xdr:cNvPicPr>
      </xdr:nvPicPr>
      <xdr:blipFill>
        <a:blip xmlns:r="http://schemas.openxmlformats.org/officeDocument/2006/relationships" r:embed="rId6"/>
        <a:stretch>
          <a:fillRect/>
        </a:stretch>
      </xdr:blipFill>
      <xdr:spPr>
        <a:xfrm>
          <a:off x="7181850" y="8702786"/>
          <a:ext cx="1038225" cy="536334"/>
        </a:xfrm>
        <a:prstGeom prst="rect">
          <a:avLst/>
        </a:prstGeom>
      </xdr:spPr>
    </xdr:pic>
    <xdr:clientData/>
  </xdr:oneCellAnchor>
  <xdr:oneCellAnchor>
    <xdr:from>
      <xdr:col>2</xdr:col>
      <xdr:colOff>323850</xdr:colOff>
      <xdr:row>37</xdr:row>
      <xdr:rowOff>91763</xdr:rowOff>
    </xdr:from>
    <xdr:ext cx="533400" cy="484592"/>
    <xdr:pic>
      <xdr:nvPicPr>
        <xdr:cNvPr id="322" name="Afbeelding 321">
          <a:extLst>
            <a:ext uri="{FF2B5EF4-FFF2-40B4-BE49-F238E27FC236}">
              <a16:creationId xmlns:a16="http://schemas.microsoft.com/office/drawing/2014/main" id="{72050FBF-0468-4D34-9941-4B15A130043E}"/>
            </a:ext>
          </a:extLst>
        </xdr:cNvPr>
        <xdr:cNvPicPr>
          <a:picLocks noChangeAspect="1"/>
        </xdr:cNvPicPr>
      </xdr:nvPicPr>
      <xdr:blipFill>
        <a:blip xmlns:r="http://schemas.openxmlformats.org/officeDocument/2006/relationships" r:embed="rId19"/>
        <a:stretch>
          <a:fillRect/>
        </a:stretch>
      </xdr:blipFill>
      <xdr:spPr>
        <a:xfrm>
          <a:off x="7362825" y="9378638"/>
          <a:ext cx="533400" cy="484592"/>
        </a:xfrm>
        <a:prstGeom prst="rect">
          <a:avLst/>
        </a:prstGeom>
      </xdr:spPr>
    </xdr:pic>
    <xdr:clientData/>
  </xdr:oneCellAnchor>
  <xdr:oneCellAnchor>
    <xdr:from>
      <xdr:col>2</xdr:col>
      <xdr:colOff>209550</xdr:colOff>
      <xdr:row>39</xdr:row>
      <xdr:rowOff>51489</xdr:rowOff>
    </xdr:from>
    <xdr:ext cx="946309" cy="548585"/>
    <xdr:pic>
      <xdr:nvPicPr>
        <xdr:cNvPr id="323" name="Afbeelding 322">
          <a:extLst>
            <a:ext uri="{FF2B5EF4-FFF2-40B4-BE49-F238E27FC236}">
              <a16:creationId xmlns:a16="http://schemas.microsoft.com/office/drawing/2014/main" id="{AE5F7ED8-8794-4842-A249-D3E4F1A0601C}"/>
            </a:ext>
          </a:extLst>
        </xdr:cNvPr>
        <xdr:cNvPicPr>
          <a:picLocks noChangeAspect="1"/>
        </xdr:cNvPicPr>
      </xdr:nvPicPr>
      <xdr:blipFill>
        <a:blip xmlns:r="http://schemas.openxmlformats.org/officeDocument/2006/relationships" r:embed="rId20"/>
        <a:stretch>
          <a:fillRect/>
        </a:stretch>
      </xdr:blipFill>
      <xdr:spPr>
        <a:xfrm>
          <a:off x="7248525" y="10614714"/>
          <a:ext cx="946309" cy="548585"/>
        </a:xfrm>
        <a:prstGeom prst="rect">
          <a:avLst/>
        </a:prstGeom>
      </xdr:spPr>
    </xdr:pic>
    <xdr:clientData/>
  </xdr:oneCellAnchor>
  <xdr:oneCellAnchor>
    <xdr:from>
      <xdr:col>2</xdr:col>
      <xdr:colOff>285750</xdr:colOff>
      <xdr:row>38</xdr:row>
      <xdr:rowOff>95715</xdr:rowOff>
    </xdr:from>
    <xdr:ext cx="619125" cy="504197"/>
    <xdr:pic>
      <xdr:nvPicPr>
        <xdr:cNvPr id="324" name="Afbeelding 323">
          <a:extLst>
            <a:ext uri="{FF2B5EF4-FFF2-40B4-BE49-F238E27FC236}">
              <a16:creationId xmlns:a16="http://schemas.microsoft.com/office/drawing/2014/main" id="{227A3CD1-DBE2-4B07-B6FA-143C97FF5396}"/>
            </a:ext>
          </a:extLst>
        </xdr:cNvPr>
        <xdr:cNvPicPr>
          <a:picLocks noChangeAspect="1"/>
        </xdr:cNvPicPr>
      </xdr:nvPicPr>
      <xdr:blipFill>
        <a:blip xmlns:r="http://schemas.openxmlformats.org/officeDocument/2006/relationships" r:embed="rId21"/>
        <a:stretch>
          <a:fillRect/>
        </a:stretch>
      </xdr:blipFill>
      <xdr:spPr>
        <a:xfrm>
          <a:off x="7324725" y="10020765"/>
          <a:ext cx="619125" cy="504197"/>
        </a:xfrm>
        <a:prstGeom prst="rect">
          <a:avLst/>
        </a:prstGeom>
      </xdr:spPr>
    </xdr:pic>
    <xdr:clientData/>
  </xdr:oneCellAnchor>
  <xdr:twoCellAnchor editAs="oneCell">
    <xdr:from>
      <xdr:col>2</xdr:col>
      <xdr:colOff>123825</xdr:colOff>
      <xdr:row>32</xdr:row>
      <xdr:rowOff>57150</xdr:rowOff>
    </xdr:from>
    <xdr:to>
      <xdr:col>2</xdr:col>
      <xdr:colOff>1008643</xdr:colOff>
      <xdr:row>32</xdr:row>
      <xdr:rowOff>609600</xdr:rowOff>
    </xdr:to>
    <xdr:pic>
      <xdr:nvPicPr>
        <xdr:cNvPr id="326" name="Afbeelding 325">
          <a:extLst>
            <a:ext uri="{FF2B5EF4-FFF2-40B4-BE49-F238E27FC236}">
              <a16:creationId xmlns:a16="http://schemas.microsoft.com/office/drawing/2014/main" id="{22EE23D2-7253-4790-B216-0A7BEF6B831A}"/>
            </a:ext>
          </a:extLst>
        </xdr:cNvPr>
        <xdr:cNvPicPr>
          <a:picLocks noChangeAspect="1"/>
        </xdr:cNvPicPr>
      </xdr:nvPicPr>
      <xdr:blipFill>
        <a:blip xmlns:r="http://schemas.openxmlformats.org/officeDocument/2006/relationships" r:embed="rId22"/>
        <a:stretch>
          <a:fillRect/>
        </a:stretch>
      </xdr:blipFill>
      <xdr:spPr>
        <a:xfrm>
          <a:off x="800100" y="15859125"/>
          <a:ext cx="884818" cy="552450"/>
        </a:xfrm>
        <a:prstGeom prst="rect">
          <a:avLst/>
        </a:prstGeom>
      </xdr:spPr>
    </xdr:pic>
    <xdr:clientData/>
  </xdr:twoCellAnchor>
  <xdr:twoCellAnchor editAs="oneCell">
    <xdr:from>
      <xdr:col>2</xdr:col>
      <xdr:colOff>228600</xdr:colOff>
      <xdr:row>33</xdr:row>
      <xdr:rowOff>70720</xdr:rowOff>
    </xdr:from>
    <xdr:to>
      <xdr:col>2</xdr:col>
      <xdr:colOff>1085850</xdr:colOff>
      <xdr:row>33</xdr:row>
      <xdr:rowOff>587419</xdr:rowOff>
    </xdr:to>
    <xdr:pic>
      <xdr:nvPicPr>
        <xdr:cNvPr id="327" name="Afbeelding 326">
          <a:extLst>
            <a:ext uri="{FF2B5EF4-FFF2-40B4-BE49-F238E27FC236}">
              <a16:creationId xmlns:a16="http://schemas.microsoft.com/office/drawing/2014/main" id="{6FE8E170-A9F3-4FE6-9713-66A66D4EE9FB}"/>
            </a:ext>
          </a:extLst>
        </xdr:cNvPr>
        <xdr:cNvPicPr>
          <a:picLocks noChangeAspect="1"/>
        </xdr:cNvPicPr>
      </xdr:nvPicPr>
      <xdr:blipFill>
        <a:blip xmlns:r="http://schemas.openxmlformats.org/officeDocument/2006/relationships" r:embed="rId23"/>
        <a:stretch>
          <a:fillRect/>
        </a:stretch>
      </xdr:blipFill>
      <xdr:spPr>
        <a:xfrm>
          <a:off x="904875" y="16510870"/>
          <a:ext cx="857250" cy="516699"/>
        </a:xfrm>
        <a:prstGeom prst="rect">
          <a:avLst/>
        </a:prstGeom>
      </xdr:spPr>
    </xdr:pic>
    <xdr:clientData/>
  </xdr:twoCellAnchor>
  <xdr:twoCellAnchor editAs="oneCell">
    <xdr:from>
      <xdr:col>2</xdr:col>
      <xdr:colOff>47625</xdr:colOff>
      <xdr:row>34</xdr:row>
      <xdr:rowOff>114300</xdr:rowOff>
    </xdr:from>
    <xdr:to>
      <xdr:col>2</xdr:col>
      <xdr:colOff>1200150</xdr:colOff>
      <xdr:row>34</xdr:row>
      <xdr:rowOff>531504</xdr:rowOff>
    </xdr:to>
    <xdr:pic>
      <xdr:nvPicPr>
        <xdr:cNvPr id="328" name="Afbeelding 327">
          <a:extLst>
            <a:ext uri="{FF2B5EF4-FFF2-40B4-BE49-F238E27FC236}">
              <a16:creationId xmlns:a16="http://schemas.microsoft.com/office/drawing/2014/main" id="{643C32F3-D607-480F-ABA2-38EB042B345A}"/>
            </a:ext>
          </a:extLst>
        </xdr:cNvPr>
        <xdr:cNvPicPr>
          <a:picLocks noChangeAspect="1"/>
        </xdr:cNvPicPr>
      </xdr:nvPicPr>
      <xdr:blipFill>
        <a:blip xmlns:r="http://schemas.openxmlformats.org/officeDocument/2006/relationships" r:embed="rId24"/>
        <a:stretch>
          <a:fillRect/>
        </a:stretch>
      </xdr:blipFill>
      <xdr:spPr>
        <a:xfrm>
          <a:off x="723900" y="17192625"/>
          <a:ext cx="1152525" cy="417204"/>
        </a:xfrm>
        <a:prstGeom prst="rect">
          <a:avLst/>
        </a:prstGeom>
      </xdr:spPr>
    </xdr:pic>
    <xdr:clientData/>
  </xdr:twoCellAnchor>
  <xdr:twoCellAnchor editAs="oneCell">
    <xdr:from>
      <xdr:col>2</xdr:col>
      <xdr:colOff>200025</xdr:colOff>
      <xdr:row>35</xdr:row>
      <xdr:rowOff>114300</xdr:rowOff>
    </xdr:from>
    <xdr:to>
      <xdr:col>2</xdr:col>
      <xdr:colOff>1083129</xdr:colOff>
      <xdr:row>35</xdr:row>
      <xdr:rowOff>576260</xdr:rowOff>
    </xdr:to>
    <xdr:pic>
      <xdr:nvPicPr>
        <xdr:cNvPr id="329" name="Afbeelding 328">
          <a:extLst>
            <a:ext uri="{FF2B5EF4-FFF2-40B4-BE49-F238E27FC236}">
              <a16:creationId xmlns:a16="http://schemas.microsoft.com/office/drawing/2014/main" id="{9AE93C48-1A78-4A8A-8A3E-90E45A94CC1B}"/>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23769" t="27169" r="31155" b="30949"/>
        <a:stretch/>
      </xdr:blipFill>
      <xdr:spPr>
        <a:xfrm>
          <a:off x="876300" y="17830800"/>
          <a:ext cx="883104" cy="461960"/>
        </a:xfrm>
        <a:prstGeom prst="rect">
          <a:avLst/>
        </a:prstGeom>
      </xdr:spPr>
    </xdr:pic>
    <xdr:clientData/>
  </xdr:twoCellAnchor>
  <xdr:twoCellAnchor editAs="oneCell">
    <xdr:from>
      <xdr:col>2</xdr:col>
      <xdr:colOff>47626</xdr:colOff>
      <xdr:row>44</xdr:row>
      <xdr:rowOff>104776</xdr:rowOff>
    </xdr:from>
    <xdr:to>
      <xdr:col>2</xdr:col>
      <xdr:colOff>1247776</xdr:colOff>
      <xdr:row>44</xdr:row>
      <xdr:rowOff>570906</xdr:rowOff>
    </xdr:to>
    <xdr:pic>
      <xdr:nvPicPr>
        <xdr:cNvPr id="330" name="Afbeelding 329">
          <a:extLst>
            <a:ext uri="{FF2B5EF4-FFF2-40B4-BE49-F238E27FC236}">
              <a16:creationId xmlns:a16="http://schemas.microsoft.com/office/drawing/2014/main" id="{A93F010C-E905-4557-A292-69E061CADE88}"/>
            </a:ext>
          </a:extLst>
        </xdr:cNvPr>
        <xdr:cNvPicPr>
          <a:picLocks noChangeAspect="1"/>
        </xdr:cNvPicPr>
      </xdr:nvPicPr>
      <xdr:blipFill>
        <a:blip xmlns:r="http://schemas.openxmlformats.org/officeDocument/2006/relationships" r:embed="rId26"/>
        <a:stretch>
          <a:fillRect/>
        </a:stretch>
      </xdr:blipFill>
      <xdr:spPr>
        <a:xfrm>
          <a:off x="7086601" y="13820776"/>
          <a:ext cx="1200150" cy="466130"/>
        </a:xfrm>
        <a:prstGeom prst="rect">
          <a:avLst/>
        </a:prstGeom>
      </xdr:spPr>
    </xdr:pic>
    <xdr:clientData/>
  </xdr:twoCellAnchor>
  <xdr:twoCellAnchor editAs="oneCell">
    <xdr:from>
      <xdr:col>2</xdr:col>
      <xdr:colOff>190500</xdr:colOff>
      <xdr:row>45</xdr:row>
      <xdr:rowOff>104775</xdr:rowOff>
    </xdr:from>
    <xdr:to>
      <xdr:col>2</xdr:col>
      <xdr:colOff>1000125</xdr:colOff>
      <xdr:row>45</xdr:row>
      <xdr:rowOff>556042</xdr:rowOff>
    </xdr:to>
    <xdr:pic>
      <xdr:nvPicPr>
        <xdr:cNvPr id="331" name="Afbeelding 330">
          <a:extLst>
            <a:ext uri="{FF2B5EF4-FFF2-40B4-BE49-F238E27FC236}">
              <a16:creationId xmlns:a16="http://schemas.microsoft.com/office/drawing/2014/main" id="{22A110D4-64C4-4042-A1DF-4740796E0ACD}"/>
            </a:ext>
          </a:extLst>
        </xdr:cNvPr>
        <xdr:cNvPicPr>
          <a:picLocks noChangeAspect="1"/>
        </xdr:cNvPicPr>
      </xdr:nvPicPr>
      <xdr:blipFill>
        <a:blip xmlns:r="http://schemas.openxmlformats.org/officeDocument/2006/relationships" r:embed="rId27"/>
        <a:stretch>
          <a:fillRect/>
        </a:stretch>
      </xdr:blipFill>
      <xdr:spPr>
        <a:xfrm>
          <a:off x="7229475" y="14458950"/>
          <a:ext cx="809625" cy="451267"/>
        </a:xfrm>
        <a:prstGeom prst="rect">
          <a:avLst/>
        </a:prstGeom>
      </xdr:spPr>
    </xdr:pic>
    <xdr:clientData/>
  </xdr:twoCellAnchor>
  <xdr:oneCellAnchor>
    <xdr:from>
      <xdr:col>2</xdr:col>
      <xdr:colOff>219075</xdr:colOff>
      <xdr:row>47</xdr:row>
      <xdr:rowOff>66675</xdr:rowOff>
    </xdr:from>
    <xdr:ext cx="776320" cy="495299"/>
    <xdr:pic>
      <xdr:nvPicPr>
        <xdr:cNvPr id="332" name="Afbeelding 331">
          <a:extLst>
            <a:ext uri="{FF2B5EF4-FFF2-40B4-BE49-F238E27FC236}">
              <a16:creationId xmlns:a16="http://schemas.microsoft.com/office/drawing/2014/main" id="{E57DD8CF-D86B-4874-8F5E-D9A15F67D7D7}"/>
            </a:ext>
          </a:extLst>
        </xdr:cNvPr>
        <xdr:cNvPicPr>
          <a:picLocks noChangeAspect="1"/>
        </xdr:cNvPicPr>
      </xdr:nvPicPr>
      <xdr:blipFill>
        <a:blip xmlns:r="http://schemas.openxmlformats.org/officeDocument/2006/relationships" r:embed="rId28"/>
        <a:stretch>
          <a:fillRect/>
        </a:stretch>
      </xdr:blipFill>
      <xdr:spPr>
        <a:xfrm>
          <a:off x="7258050" y="15697200"/>
          <a:ext cx="776320" cy="495299"/>
        </a:xfrm>
        <a:prstGeom prst="rect">
          <a:avLst/>
        </a:prstGeom>
      </xdr:spPr>
    </xdr:pic>
    <xdr:clientData/>
  </xdr:oneCellAnchor>
  <xdr:oneCellAnchor>
    <xdr:from>
      <xdr:col>2</xdr:col>
      <xdr:colOff>38100</xdr:colOff>
      <xdr:row>44</xdr:row>
      <xdr:rowOff>76201</xdr:rowOff>
    </xdr:from>
    <xdr:ext cx="1190625" cy="523465"/>
    <xdr:pic>
      <xdr:nvPicPr>
        <xdr:cNvPr id="333" name="Afbeelding 332">
          <a:extLst>
            <a:ext uri="{FF2B5EF4-FFF2-40B4-BE49-F238E27FC236}">
              <a16:creationId xmlns:a16="http://schemas.microsoft.com/office/drawing/2014/main" id="{13DCC64C-7DAD-43F7-B91E-F4FA34B72F1C}"/>
            </a:ext>
          </a:extLst>
        </xdr:cNvPr>
        <xdr:cNvPicPr>
          <a:picLocks noChangeAspect="1"/>
        </xdr:cNvPicPr>
      </xdr:nvPicPr>
      <xdr:blipFill>
        <a:blip xmlns:r="http://schemas.openxmlformats.org/officeDocument/2006/relationships" r:embed="rId29"/>
        <a:stretch>
          <a:fillRect/>
        </a:stretch>
      </xdr:blipFill>
      <xdr:spPr>
        <a:xfrm>
          <a:off x="7077075" y="13792201"/>
          <a:ext cx="1190625" cy="523465"/>
        </a:xfrm>
        <a:prstGeom prst="rect">
          <a:avLst/>
        </a:prstGeom>
      </xdr:spPr>
    </xdr:pic>
    <xdr:clientData/>
  </xdr:oneCellAnchor>
  <xdr:oneCellAnchor>
    <xdr:from>
      <xdr:col>2</xdr:col>
      <xdr:colOff>47626</xdr:colOff>
      <xdr:row>45</xdr:row>
      <xdr:rowOff>104776</xdr:rowOff>
    </xdr:from>
    <xdr:ext cx="1200150" cy="466130"/>
    <xdr:pic>
      <xdr:nvPicPr>
        <xdr:cNvPr id="334" name="Afbeelding 333">
          <a:extLst>
            <a:ext uri="{FF2B5EF4-FFF2-40B4-BE49-F238E27FC236}">
              <a16:creationId xmlns:a16="http://schemas.microsoft.com/office/drawing/2014/main" id="{A786C259-26C0-4A37-ADC5-98F83514927D}"/>
            </a:ext>
          </a:extLst>
        </xdr:cNvPr>
        <xdr:cNvPicPr>
          <a:picLocks noChangeAspect="1"/>
        </xdr:cNvPicPr>
      </xdr:nvPicPr>
      <xdr:blipFill>
        <a:blip xmlns:r="http://schemas.openxmlformats.org/officeDocument/2006/relationships" r:embed="rId26"/>
        <a:stretch>
          <a:fillRect/>
        </a:stretch>
      </xdr:blipFill>
      <xdr:spPr>
        <a:xfrm>
          <a:off x="7086601" y="14458951"/>
          <a:ext cx="1200150" cy="466130"/>
        </a:xfrm>
        <a:prstGeom prst="rect">
          <a:avLst/>
        </a:prstGeom>
      </xdr:spPr>
    </xdr:pic>
    <xdr:clientData/>
  </xdr:oneCellAnchor>
  <xdr:twoCellAnchor editAs="oneCell">
    <xdr:from>
      <xdr:col>2</xdr:col>
      <xdr:colOff>299046</xdr:colOff>
      <xdr:row>0</xdr:row>
      <xdr:rowOff>59220</xdr:rowOff>
    </xdr:from>
    <xdr:to>
      <xdr:col>6</xdr:col>
      <xdr:colOff>389038</xdr:colOff>
      <xdr:row>2</xdr:row>
      <xdr:rowOff>711889</xdr:rowOff>
    </xdr:to>
    <xdr:pic>
      <xdr:nvPicPr>
        <xdr:cNvPr id="337" name="Afbeelding 336">
          <a:extLst>
            <a:ext uri="{FF2B5EF4-FFF2-40B4-BE49-F238E27FC236}">
              <a16:creationId xmlns:a16="http://schemas.microsoft.com/office/drawing/2014/main" id="{710522E9-6B5E-4A11-AA20-86E70D152CF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975321" y="59220"/>
          <a:ext cx="5185867" cy="1033669"/>
        </a:xfrm>
        <a:prstGeom prst="rect">
          <a:avLst/>
        </a:prstGeom>
      </xdr:spPr>
    </xdr:pic>
    <xdr:clientData/>
  </xdr:twoCellAnchor>
  <xdr:twoCellAnchor editAs="oneCell">
    <xdr:from>
      <xdr:col>2</xdr:col>
      <xdr:colOff>209550</xdr:colOff>
      <xdr:row>46</xdr:row>
      <xdr:rowOff>57156</xdr:rowOff>
    </xdr:from>
    <xdr:to>
      <xdr:col>2</xdr:col>
      <xdr:colOff>1123950</xdr:colOff>
      <xdr:row>46</xdr:row>
      <xdr:rowOff>603861</xdr:rowOff>
    </xdr:to>
    <xdr:pic>
      <xdr:nvPicPr>
        <xdr:cNvPr id="2" name="dimg_333" descr="Duracell BDPI6LR61 Procell Intense Alkaline batterij 9V E-Block 6LR61 50  stuks">
          <a:extLst>
            <a:ext uri="{FF2B5EF4-FFF2-40B4-BE49-F238E27FC236}">
              <a16:creationId xmlns:a16="http://schemas.microsoft.com/office/drawing/2014/main" id="{00BFD48D-3E15-477B-8477-956B7A25D182}"/>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23556" t="8000" r="26222" b="8000"/>
        <a:stretch/>
      </xdr:blipFill>
      <xdr:spPr bwMode="auto">
        <a:xfrm rot="5400000">
          <a:off x="1393522" y="23866784"/>
          <a:ext cx="54670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6EBE-7DB4-4454-A974-C6142755D997}">
  <sheetPr codeName="Blad1">
    <pageSetUpPr fitToPage="1"/>
  </sheetPr>
  <dimension ref="A1:AJ96"/>
  <sheetViews>
    <sheetView showGridLines="0" showRowColHeaders="0" tabSelected="1" zoomScale="115" zoomScaleNormal="115" workbookViewId="0">
      <selection activeCell="C10" sqref="C10"/>
    </sheetView>
  </sheetViews>
  <sheetFormatPr defaultColWidth="0" defaultRowHeight="15" zeroHeight="1" x14ac:dyDescent="0.25"/>
  <cols>
    <col min="1" max="1" width="4.5703125" customWidth="1"/>
    <col min="2" max="2" width="21.7109375" customWidth="1"/>
    <col min="3" max="3" width="3.42578125" customWidth="1"/>
    <col min="4" max="4" width="4.28515625" customWidth="1"/>
    <col min="5" max="5" width="2.140625" customWidth="1"/>
    <col min="6" max="12" width="3.42578125" customWidth="1"/>
    <col min="13" max="13" width="3.7109375" customWidth="1"/>
    <col min="14" max="14" width="10.28515625" customWidth="1"/>
    <col min="15" max="15" width="2.42578125" customWidth="1"/>
    <col min="16" max="18" width="3.42578125" customWidth="1"/>
    <col min="19" max="19" width="4.85546875" customWidth="1"/>
    <col min="20" max="20" width="4.7109375" customWidth="1"/>
    <col min="21" max="21" width="4.42578125" customWidth="1"/>
    <col min="22" max="22" width="7.140625" customWidth="1"/>
    <col min="23" max="23" width="7.140625" hidden="1" customWidth="1"/>
    <col min="24" max="24" width="29.85546875" hidden="1" customWidth="1"/>
    <col min="25" max="25" width="4.140625" hidden="1" customWidth="1"/>
    <col min="26" max="31" width="3.42578125" hidden="1" customWidth="1"/>
    <col min="32" max="32" width="10.5703125" hidden="1" customWidth="1"/>
    <col min="33" max="33" width="16.42578125" hidden="1" customWidth="1"/>
    <col min="34" max="34" width="11.42578125" hidden="1" customWidth="1"/>
    <col min="35" max="16384" width="9.140625" hidden="1"/>
  </cols>
  <sheetData>
    <row r="1" spans="1:36" ht="8.25" customHeight="1" x14ac:dyDescent="0.25"/>
    <row r="2" spans="1:36" ht="104.25" customHeight="1" x14ac:dyDescent="0.25"/>
    <row r="3" spans="1:36" ht="21" hidden="1" x14ac:dyDescent="0.35">
      <c r="B3" s="13" t="s">
        <v>30</v>
      </c>
      <c r="C3" s="13"/>
      <c r="D3" s="13"/>
      <c r="E3" s="13"/>
      <c r="F3" s="13"/>
      <c r="G3" s="13"/>
      <c r="H3" s="13"/>
      <c r="I3" s="13"/>
      <c r="J3" s="13"/>
      <c r="K3" s="13"/>
      <c r="L3" s="13"/>
      <c r="M3" s="13"/>
      <c r="N3" s="13"/>
      <c r="O3" s="13"/>
      <c r="P3" s="13"/>
      <c r="Q3" s="13"/>
      <c r="R3" s="13"/>
      <c r="S3" s="13"/>
      <c r="T3" s="13"/>
      <c r="U3" s="13"/>
      <c r="V3" s="13"/>
      <c r="W3" s="13"/>
      <c r="X3" s="13"/>
    </row>
    <row r="4" spans="1:36" s="14" customFormat="1" ht="11.25" customHeight="1" x14ac:dyDescent="0.25">
      <c r="A4"/>
      <c r="B4" s="14" t="s">
        <v>31</v>
      </c>
    </row>
    <row r="5" spans="1:36" s="14" customFormat="1" ht="11.25" customHeight="1" x14ac:dyDescent="0.25">
      <c r="A5"/>
      <c r="B5" s="14" t="s">
        <v>202</v>
      </c>
    </row>
    <row r="6" spans="1:36" s="15" customFormat="1" ht="11.25" customHeight="1" x14ac:dyDescent="0.25">
      <c r="A6"/>
      <c r="B6" s="106" t="s">
        <v>205</v>
      </c>
      <c r="C6" s="106"/>
      <c r="D6" s="106"/>
      <c r="E6" s="106"/>
      <c r="F6" s="106"/>
      <c r="G6" s="106"/>
      <c r="H6" s="106"/>
      <c r="I6" s="106"/>
      <c r="J6" s="106"/>
      <c r="K6" s="106"/>
      <c r="L6" s="106"/>
      <c r="M6" s="106"/>
      <c r="N6" s="106"/>
      <c r="O6" s="106"/>
      <c r="P6" s="106"/>
      <c r="Q6" s="106"/>
      <c r="R6" s="106"/>
      <c r="S6" s="106"/>
      <c r="T6" s="106"/>
      <c r="U6" s="106"/>
      <c r="V6" s="106"/>
    </row>
    <row r="7" spans="1:36" s="15" customFormat="1" ht="11.25" customHeight="1" x14ac:dyDescent="0.25">
      <c r="A7"/>
      <c r="B7" s="15" t="s">
        <v>194</v>
      </c>
    </row>
    <row r="8" spans="1:36" s="15" customFormat="1" ht="8.25" customHeight="1" x14ac:dyDescent="0.25">
      <c r="A8"/>
    </row>
    <row r="9" spans="1:36" x14ac:dyDescent="0.25">
      <c r="A9" s="99"/>
      <c r="B9" s="99"/>
      <c r="C9" s="99"/>
      <c r="D9" s="99"/>
      <c r="E9" s="99"/>
      <c r="F9" s="99"/>
      <c r="G9" s="99"/>
      <c r="H9" s="99"/>
      <c r="I9" s="99"/>
      <c r="J9" s="99"/>
      <c r="K9" s="99"/>
      <c r="L9" s="99"/>
      <c r="M9" s="99"/>
      <c r="N9" s="1" t="s">
        <v>5</v>
      </c>
    </row>
    <row r="10" spans="1:36" x14ac:dyDescent="0.25">
      <c r="B10" s="14" t="s">
        <v>0</v>
      </c>
      <c r="C10" s="8"/>
      <c r="D10" s="86" t="s">
        <v>222</v>
      </c>
      <c r="E10" s="86"/>
      <c r="F10" s="86"/>
      <c r="G10" s="86"/>
      <c r="H10" s="86"/>
      <c r="I10" s="86"/>
      <c r="J10" s="86"/>
      <c r="K10" s="86"/>
      <c r="L10" s="86"/>
      <c r="M10" s="86"/>
      <c r="N10" s="17">
        <v>22.5</v>
      </c>
      <c r="O10" s="18" t="s">
        <v>86</v>
      </c>
      <c r="P10" s="18"/>
      <c r="Q10" s="18"/>
      <c r="R10" s="18"/>
      <c r="S10" s="18"/>
      <c r="T10" s="18"/>
      <c r="U10" s="18"/>
      <c r="V10" s="18"/>
      <c r="W10" s="18"/>
      <c r="Y10" s="78" t="s">
        <v>66</v>
      </c>
      <c r="AA10">
        <f>IF(C10="x",1,0)</f>
        <v>0</v>
      </c>
      <c r="AB10">
        <f>IF(AA10+AA11&gt;0,1,0)</f>
        <v>0</v>
      </c>
      <c r="AF10">
        <f>COUNTIF(C10:C11,"X")</f>
        <v>0</v>
      </c>
      <c r="AG10">
        <f>AF10+AF11+AF12</f>
        <v>0</v>
      </c>
      <c r="AH10" s="6">
        <f>IF(AF10&gt;0,O35,0)</f>
        <v>0</v>
      </c>
    </row>
    <row r="11" spans="1:36" x14ac:dyDescent="0.25">
      <c r="B11" s="14"/>
      <c r="C11" s="8"/>
      <c r="D11" s="86" t="s">
        <v>223</v>
      </c>
      <c r="E11" s="86"/>
      <c r="F11" s="86"/>
      <c r="G11" s="86"/>
      <c r="H11" s="86"/>
      <c r="I11" s="86"/>
      <c r="J11" s="86"/>
      <c r="K11" s="86"/>
      <c r="L11" s="86"/>
      <c r="M11" s="86"/>
      <c r="N11" s="17">
        <v>27.5</v>
      </c>
      <c r="O11" s="18" t="s">
        <v>18</v>
      </c>
      <c r="P11" s="18"/>
      <c r="Q11" s="18"/>
      <c r="R11" s="18"/>
      <c r="S11" s="18"/>
      <c r="T11" s="18"/>
      <c r="U11" s="18"/>
      <c r="V11" s="18"/>
      <c r="W11" s="18"/>
      <c r="X11" s="18"/>
      <c r="AA11">
        <f>IF(C11="x",1,0)</f>
        <v>0</v>
      </c>
      <c r="AF11">
        <f>COUNTIF(C18:C19,"X")</f>
        <v>0</v>
      </c>
      <c r="AH11" s="6">
        <f>IF(C11="X",AJ11,0)</f>
        <v>0</v>
      </c>
      <c r="AJ11" s="10">
        <f>N11-N10</f>
        <v>5</v>
      </c>
    </row>
    <row r="12" spans="1:36" x14ac:dyDescent="0.25">
      <c r="C12" s="8"/>
      <c r="D12" s="86" t="s">
        <v>14</v>
      </c>
      <c r="E12" s="86"/>
      <c r="F12" s="86"/>
      <c r="G12" s="86"/>
      <c r="H12" s="86"/>
      <c r="I12" s="86"/>
      <c r="J12" s="86"/>
      <c r="K12" s="86"/>
      <c r="L12" s="86"/>
      <c r="M12" s="86"/>
      <c r="N12" s="17">
        <v>45</v>
      </c>
      <c r="O12" s="18" t="s">
        <v>19</v>
      </c>
      <c r="P12" s="18"/>
      <c r="Q12" s="18"/>
      <c r="R12" s="18"/>
      <c r="S12" s="18"/>
      <c r="T12" s="18"/>
      <c r="U12" s="18"/>
      <c r="V12" s="18"/>
      <c r="W12" s="18"/>
      <c r="X12" s="18"/>
      <c r="AA12">
        <f>IF(C12="x",1,0)</f>
        <v>0</v>
      </c>
      <c r="AF12">
        <f>IF(C23+C24&gt;0,-1,0)</f>
        <v>0</v>
      </c>
    </row>
    <row r="13" spans="1:36" ht="11.25" customHeight="1" x14ac:dyDescent="0.25">
      <c r="E13" s="11"/>
      <c r="F13" s="19" t="s">
        <v>93</v>
      </c>
      <c r="G13" s="20"/>
      <c r="H13" s="20"/>
      <c r="I13" s="20"/>
      <c r="J13" s="20"/>
      <c r="K13" s="16"/>
      <c r="L13" s="16"/>
      <c r="M13" s="16"/>
      <c r="N13" s="17"/>
      <c r="O13" s="18"/>
      <c r="P13" s="18"/>
      <c r="Q13" s="18"/>
      <c r="R13" s="18"/>
      <c r="S13" s="18"/>
      <c r="T13" s="18"/>
      <c r="U13" s="18"/>
      <c r="V13" s="18"/>
      <c r="W13" s="18"/>
      <c r="X13" s="18"/>
      <c r="AA13">
        <f>IF(C19="x",1,0)</f>
        <v>0</v>
      </c>
    </row>
    <row r="14" spans="1:36" ht="11.25" customHeight="1" x14ac:dyDescent="0.25">
      <c r="E14" s="11"/>
      <c r="F14" s="19" t="s">
        <v>94</v>
      </c>
      <c r="G14" s="20"/>
      <c r="H14" s="20"/>
      <c r="I14" s="20"/>
      <c r="J14" s="20"/>
      <c r="K14" s="16"/>
      <c r="L14" s="16"/>
      <c r="M14" s="16"/>
      <c r="N14" s="17"/>
      <c r="O14" s="18"/>
      <c r="P14" s="18"/>
      <c r="Q14" s="18"/>
      <c r="R14" s="18"/>
      <c r="S14" s="18"/>
      <c r="T14" s="18"/>
      <c r="U14" s="18"/>
      <c r="V14" s="18"/>
      <c r="W14" s="18"/>
      <c r="X14" s="18"/>
    </row>
    <row r="15" spans="1:36" ht="6" customHeight="1" x14ac:dyDescent="0.25">
      <c r="F15" s="19"/>
      <c r="G15" s="20"/>
      <c r="H15" s="20"/>
      <c r="I15" s="20"/>
      <c r="J15" s="20"/>
      <c r="K15" s="16"/>
      <c r="L15" s="16"/>
      <c r="M15" s="16"/>
      <c r="N15" s="17"/>
      <c r="O15" s="18"/>
      <c r="P15" s="18"/>
      <c r="Q15" s="18"/>
      <c r="R15" s="18"/>
      <c r="S15" s="18"/>
      <c r="T15" s="18"/>
      <c r="U15" s="18"/>
      <c r="V15" s="18"/>
      <c r="W15" s="18"/>
      <c r="X15" s="18"/>
    </row>
    <row r="16" spans="1:36" x14ac:dyDescent="0.25">
      <c r="C16" s="8"/>
      <c r="D16" s="86" t="s">
        <v>6</v>
      </c>
      <c r="E16" s="86"/>
      <c r="F16" s="86"/>
      <c r="G16" s="86"/>
      <c r="H16" s="86"/>
      <c r="I16" s="86"/>
      <c r="J16" s="86"/>
      <c r="K16" s="86"/>
      <c r="L16" s="86"/>
      <c r="M16" s="86"/>
      <c r="N16" s="17">
        <v>62.86</v>
      </c>
      <c r="O16" s="18" t="s">
        <v>20</v>
      </c>
      <c r="P16" s="18"/>
      <c r="Q16" s="18"/>
      <c r="R16" s="18"/>
      <c r="S16" s="18"/>
      <c r="T16" s="18"/>
      <c r="U16" s="18"/>
      <c r="V16" s="18"/>
      <c r="W16" s="18"/>
      <c r="X16" s="18"/>
      <c r="Y16">
        <f>IF(C16="x",1,0)</f>
        <v>0</v>
      </c>
      <c r="AG16" s="10">
        <f>N16*12</f>
        <v>754.31999999999994</v>
      </c>
    </row>
    <row r="17" spans="1:33" s="18" customFormat="1" x14ac:dyDescent="0.25">
      <c r="A17"/>
      <c r="B17"/>
      <c r="C17" s="8"/>
      <c r="D17" s="86" t="s">
        <v>7</v>
      </c>
      <c r="E17" s="86"/>
      <c r="F17" s="86"/>
      <c r="G17" s="86"/>
      <c r="H17" s="86"/>
      <c r="I17" s="86"/>
      <c r="J17" s="86"/>
      <c r="K17" s="86"/>
      <c r="L17" s="86"/>
      <c r="M17" s="86"/>
      <c r="N17" s="17">
        <v>715</v>
      </c>
      <c r="Y17">
        <f>IF(C17="x",1,0)</f>
        <v>0</v>
      </c>
      <c r="AA17">
        <f>IF(Y17+Y18&gt;0,1,0)</f>
        <v>0</v>
      </c>
    </row>
    <row r="18" spans="1:33" s="18" customFormat="1" x14ac:dyDescent="0.25">
      <c r="A18"/>
      <c r="B18"/>
      <c r="C18" s="8"/>
      <c r="D18" s="86" t="s">
        <v>51</v>
      </c>
      <c r="E18" s="86"/>
      <c r="F18" s="86"/>
      <c r="G18" s="86"/>
      <c r="H18" s="86"/>
      <c r="I18" s="86"/>
      <c r="J18" s="86"/>
      <c r="K18" s="86"/>
      <c r="L18" s="86"/>
      <c r="M18" s="86"/>
      <c r="N18" s="17" t="s">
        <v>103</v>
      </c>
      <c r="Y18">
        <f>IF(C18="x",1,0)</f>
        <v>0</v>
      </c>
      <c r="AA18">
        <f>IF(Y18+Y19&gt;0,1,0)</f>
        <v>0</v>
      </c>
      <c r="AC18" s="18">
        <f>AA18-Y17-Y16-AA12-AA11-AA10</f>
        <v>0</v>
      </c>
      <c r="AG18" s="18">
        <f>_xlfn.DAYS(F30,F29)</f>
        <v>0</v>
      </c>
    </row>
    <row r="19" spans="1:33" s="18" customFormat="1" x14ac:dyDescent="0.25">
      <c r="A19"/>
      <c r="B19"/>
      <c r="C19" s="8"/>
      <c r="D19" s="86" t="s">
        <v>52</v>
      </c>
      <c r="E19" s="86"/>
      <c r="F19" s="86"/>
      <c r="G19" s="86"/>
      <c r="H19" s="86"/>
      <c r="I19" s="86"/>
      <c r="J19" s="86"/>
      <c r="K19" s="86"/>
      <c r="L19" s="86"/>
      <c r="M19" s="86"/>
      <c r="N19" s="17" t="s">
        <v>53</v>
      </c>
      <c r="Y19">
        <f>IF(C19="x",1,0)</f>
        <v>0</v>
      </c>
    </row>
    <row r="20" spans="1:33" s="18" customFormat="1" ht="11.25" customHeight="1" x14ac:dyDescent="0.25">
      <c r="A20"/>
      <c r="B20"/>
      <c r="C20" s="72"/>
      <c r="D20" s="66" t="s">
        <v>184</v>
      </c>
      <c r="E20" s="67"/>
      <c r="F20" s="68"/>
      <c r="G20" s="68"/>
      <c r="H20" s="68"/>
      <c r="I20" s="69"/>
      <c r="J20" s="69"/>
      <c r="K20" s="70"/>
      <c r="L20" s="71" t="s">
        <v>72</v>
      </c>
      <c r="M20" s="75"/>
      <c r="N20" s="71" t="s">
        <v>71</v>
      </c>
      <c r="O20" s="75"/>
      <c r="Y20" s="65">
        <f>IF(M20="x",0.85,1)</f>
        <v>1</v>
      </c>
    </row>
    <row r="21" spans="1:33" ht="11.25" customHeight="1" x14ac:dyDescent="0.25">
      <c r="G21" s="19"/>
      <c r="H21" s="20"/>
      <c r="I21" s="20"/>
      <c r="J21" s="20"/>
      <c r="K21" s="20"/>
      <c r="L21" s="16"/>
      <c r="M21" s="16"/>
    </row>
    <row r="22" spans="1:33" x14ac:dyDescent="0.25">
      <c r="B22" s="14" t="s">
        <v>1</v>
      </c>
      <c r="C22" s="7">
        <v>0</v>
      </c>
      <c r="D22" s="98" t="s">
        <v>2</v>
      </c>
      <c r="E22" s="98"/>
      <c r="F22" s="98"/>
      <c r="G22" s="98"/>
      <c r="H22" s="98"/>
      <c r="I22" s="98"/>
      <c r="J22" s="98"/>
      <c r="K22" s="98"/>
      <c r="L22" s="98"/>
      <c r="M22" s="98"/>
    </row>
    <row r="23" spans="1:33" s="22" customFormat="1" x14ac:dyDescent="0.25">
      <c r="A23" s="86"/>
      <c r="B23" s="86"/>
      <c r="C23" s="7">
        <v>0</v>
      </c>
      <c r="D23" s="98" t="s">
        <v>76</v>
      </c>
      <c r="E23" s="98"/>
      <c r="F23" s="98"/>
      <c r="G23" s="98"/>
      <c r="H23" s="98"/>
      <c r="I23" s="98"/>
      <c r="J23" s="98"/>
      <c r="K23" s="98"/>
      <c r="L23" s="98"/>
      <c r="M23" s="98"/>
      <c r="AF23"/>
    </row>
    <row r="24" spans="1:33" s="22" customFormat="1" x14ac:dyDescent="0.25">
      <c r="A24" s="86"/>
      <c r="B24" s="86"/>
      <c r="C24" s="7">
        <v>0</v>
      </c>
      <c r="D24" s="98" t="s">
        <v>3</v>
      </c>
      <c r="E24" s="98"/>
      <c r="F24" s="98"/>
      <c r="G24" s="98"/>
      <c r="H24" s="98"/>
      <c r="I24" s="98"/>
      <c r="J24" s="98"/>
      <c r="K24" s="98"/>
      <c r="L24" s="98"/>
      <c r="M24" s="98"/>
      <c r="N24" s="17">
        <v>5</v>
      </c>
      <c r="O24" s="23" t="s">
        <v>209</v>
      </c>
      <c r="P24" s="23"/>
      <c r="Q24" s="23"/>
      <c r="R24" s="23"/>
      <c r="S24" s="23"/>
      <c r="T24" s="23"/>
      <c r="U24" s="23"/>
      <c r="V24" s="23"/>
      <c r="W24" s="23"/>
      <c r="X24" s="23"/>
    </row>
    <row r="25" spans="1:33" s="22" customFormat="1" x14ac:dyDescent="0.25">
      <c r="A25" s="86"/>
      <c r="B25" s="86"/>
      <c r="C25" s="7">
        <v>0</v>
      </c>
      <c r="D25" s="98" t="s">
        <v>4</v>
      </c>
      <c r="E25" s="98"/>
      <c r="F25" s="98"/>
      <c r="G25" s="98"/>
      <c r="H25" s="98"/>
      <c r="I25" s="98"/>
      <c r="J25" s="98"/>
      <c r="K25" s="98"/>
      <c r="L25" s="98"/>
      <c r="M25" s="98"/>
      <c r="N25" s="17">
        <v>5</v>
      </c>
      <c r="O25" s="23" t="s">
        <v>209</v>
      </c>
      <c r="P25" s="23"/>
      <c r="Q25" s="23"/>
      <c r="R25" s="23"/>
      <c r="S25" s="40"/>
      <c r="T25" s="97">
        <v>250</v>
      </c>
      <c r="U25" s="97"/>
      <c r="V25" s="23" t="s">
        <v>102</v>
      </c>
      <c r="W25" s="23"/>
      <c r="X25" s="23"/>
      <c r="AF25" s="22">
        <v>21.98</v>
      </c>
      <c r="AG25" s="22">
        <f>AF25*12</f>
        <v>263.76</v>
      </c>
    </row>
    <row r="26" spans="1:33" s="23" customFormat="1" x14ac:dyDescent="0.25">
      <c r="A26" s="86"/>
      <c r="B26" s="86"/>
      <c r="C26" s="7">
        <v>0</v>
      </c>
      <c r="D26" s="98" t="s">
        <v>25</v>
      </c>
      <c r="E26" s="98"/>
      <c r="F26" s="98"/>
      <c r="G26" s="98"/>
      <c r="H26" s="98"/>
      <c r="I26" s="98"/>
      <c r="J26" s="98"/>
      <c r="K26" s="98"/>
      <c r="L26" s="98"/>
      <c r="M26" s="98"/>
      <c r="N26" s="17">
        <v>4</v>
      </c>
      <c r="O26" s="23" t="s">
        <v>192</v>
      </c>
    </row>
    <row r="27" spans="1:33" s="23" customFormat="1" x14ac:dyDescent="0.25">
      <c r="A27" s="16"/>
      <c r="B27" s="16"/>
      <c r="C27" s="21">
        <f>'Reserve-onderdelen'!G51</f>
        <v>0</v>
      </c>
      <c r="D27" s="98" t="s">
        <v>54</v>
      </c>
      <c r="E27" s="98"/>
      <c r="F27" s="98"/>
      <c r="G27" s="98"/>
      <c r="H27" s="98"/>
      <c r="I27" s="98"/>
      <c r="J27" s="98"/>
      <c r="K27" s="98"/>
      <c r="L27" s="98"/>
      <c r="M27" s="98"/>
      <c r="N27" s="17" t="s">
        <v>103</v>
      </c>
    </row>
    <row r="28" spans="1:33" x14ac:dyDescent="0.25"/>
    <row r="29" spans="1:33" s="18" customFormat="1" x14ac:dyDescent="0.25">
      <c r="A29"/>
      <c r="B29" s="14" t="s">
        <v>50</v>
      </c>
      <c r="C29" t="s">
        <v>10</v>
      </c>
      <c r="D29"/>
      <c r="E29"/>
      <c r="F29" s="102"/>
      <c r="G29" s="103"/>
      <c r="H29" s="103"/>
      <c r="I29" s="104"/>
      <c r="J29"/>
      <c r="K29"/>
      <c r="L29"/>
      <c r="M29"/>
      <c r="N29" t="s">
        <v>12</v>
      </c>
      <c r="O29"/>
    </row>
    <row r="30" spans="1:33" x14ac:dyDescent="0.25">
      <c r="B30" s="24" t="s">
        <v>62</v>
      </c>
      <c r="C30" t="s">
        <v>11</v>
      </c>
      <c r="F30" s="102"/>
      <c r="G30" s="103"/>
      <c r="H30" s="103"/>
      <c r="I30" s="104"/>
      <c r="N30" s="86" t="s">
        <v>12</v>
      </c>
      <c r="O30" s="86"/>
      <c r="P30" s="18"/>
      <c r="Q30" s="18"/>
      <c r="R30" s="18"/>
      <c r="S30" s="18"/>
      <c r="T30" s="18"/>
      <c r="U30" s="18"/>
      <c r="V30" s="18"/>
      <c r="W30" s="18"/>
      <c r="X30" s="18"/>
    </row>
    <row r="31" spans="1:33" x14ac:dyDescent="0.25">
      <c r="B31" s="24"/>
      <c r="C31" s="25" t="s">
        <v>73</v>
      </c>
      <c r="D31" s="26"/>
      <c r="E31" s="26"/>
      <c r="F31" s="27"/>
      <c r="G31" s="27"/>
      <c r="H31" s="27"/>
      <c r="I31" s="27"/>
      <c r="J31" s="26"/>
      <c r="K31" s="28">
        <f>IF(AG18&gt;1000,"!",IF(AG18&lt;1,0,_xlfn.DAYS(F30,F29)))</f>
        <v>0</v>
      </c>
      <c r="N31" s="26" t="s">
        <v>74</v>
      </c>
      <c r="O31" s="25"/>
      <c r="P31" s="26"/>
      <c r="Q31" s="26"/>
      <c r="R31" s="18"/>
      <c r="S31" s="18"/>
      <c r="T31" s="18"/>
      <c r="U31" s="18"/>
      <c r="V31" s="18"/>
      <c r="W31" s="18"/>
      <c r="X31" s="18"/>
    </row>
    <row r="32" spans="1:33" x14ac:dyDescent="0.25">
      <c r="B32" s="24"/>
      <c r="C32" s="25" t="s">
        <v>96</v>
      </c>
      <c r="D32" s="26"/>
      <c r="E32" s="26"/>
      <c r="F32" s="27"/>
      <c r="G32" s="27"/>
      <c r="H32" s="27"/>
      <c r="I32" s="27"/>
      <c r="J32" s="26"/>
      <c r="K32" s="29">
        <f>Blad1!AM2</f>
        <v>0</v>
      </c>
      <c r="N32" s="26" t="s">
        <v>97</v>
      </c>
      <c r="O32" s="25"/>
      <c r="P32" s="26"/>
      <c r="Q32" s="26"/>
      <c r="R32" s="18"/>
      <c r="S32" s="18"/>
      <c r="T32" s="18"/>
      <c r="U32" s="18"/>
      <c r="V32" s="18"/>
      <c r="W32" s="18"/>
      <c r="X32" s="18"/>
    </row>
    <row r="33" spans="1:35" x14ac:dyDescent="0.25"/>
    <row r="34" spans="1:35" x14ac:dyDescent="0.25">
      <c r="B34" s="14" t="s">
        <v>13</v>
      </c>
      <c r="C34" s="8"/>
      <c r="D34" t="s">
        <v>16</v>
      </c>
      <c r="I34" s="26" t="s">
        <v>197</v>
      </c>
      <c r="J34" s="26"/>
      <c r="K34" s="26"/>
      <c r="L34" s="26"/>
    </row>
    <row r="35" spans="1:35" x14ac:dyDescent="0.25">
      <c r="A35" s="86"/>
      <c r="B35" s="86"/>
      <c r="C35" s="8"/>
      <c r="D35" t="s">
        <v>196</v>
      </c>
      <c r="H35" s="18" t="s">
        <v>221</v>
      </c>
      <c r="I35" s="18"/>
      <c r="J35" s="18"/>
      <c r="K35" s="18"/>
      <c r="L35" s="18"/>
      <c r="M35" s="18"/>
      <c r="N35" s="18"/>
      <c r="O35" s="126">
        <v>7.5</v>
      </c>
      <c r="P35" s="126"/>
      <c r="Q35" s="126"/>
      <c r="R35" s="128" t="s">
        <v>224</v>
      </c>
      <c r="S35" s="128"/>
      <c r="T35" s="127">
        <v>10.5</v>
      </c>
      <c r="U35" s="127"/>
      <c r="V35" s="18"/>
      <c r="AD35">
        <f>IF(C19="X",0,1)</f>
        <v>1</v>
      </c>
      <c r="AE35">
        <f>IF(C35="x",1,0)</f>
        <v>0</v>
      </c>
      <c r="AF35">
        <f>IF(C35="x",1,0)</f>
        <v>0</v>
      </c>
      <c r="AG35" s="26" t="s">
        <v>80</v>
      </c>
      <c r="AH35" s="6">
        <f>IF(AF35+AG10=2,O35,T35)*AE35*AD35</f>
        <v>0</v>
      </c>
    </row>
    <row r="36" spans="1:35" x14ac:dyDescent="0.25">
      <c r="A36" s="86"/>
      <c r="B36" s="86"/>
      <c r="N36" s="30"/>
      <c r="AD36">
        <f>IF(C19="X",0,1)</f>
        <v>1</v>
      </c>
      <c r="AF36">
        <f>IF(C39="x",1,0)</f>
        <v>0</v>
      </c>
      <c r="AG36" s="26" t="s">
        <v>81</v>
      </c>
      <c r="AH36" s="6">
        <f>IF(AF36=1,O39,0)</f>
        <v>0</v>
      </c>
    </row>
    <row r="37" spans="1:35" x14ac:dyDescent="0.25">
      <c r="B37" s="14" t="s">
        <v>195</v>
      </c>
      <c r="C37" s="8"/>
      <c r="D37" s="86" t="s">
        <v>15</v>
      </c>
      <c r="E37" s="86"/>
      <c r="F37" s="86"/>
      <c r="G37" s="86"/>
      <c r="H37" s="86"/>
      <c r="I37" s="86"/>
      <c r="J37" s="86"/>
      <c r="K37" s="86"/>
      <c r="L37" s="86"/>
      <c r="M37" s="86"/>
      <c r="N37" s="86"/>
      <c r="O37" s="86"/>
      <c r="P37" s="86"/>
      <c r="Q37" s="86"/>
      <c r="AF37" s="14"/>
      <c r="AG37" s="78" t="s">
        <v>82</v>
      </c>
      <c r="AH37" s="84">
        <f>AH35+AH36</f>
        <v>0</v>
      </c>
    </row>
    <row r="38" spans="1:35" x14ac:dyDescent="0.25">
      <c r="A38" s="86"/>
      <c r="B38" s="86"/>
      <c r="C38" s="8"/>
      <c r="D38" s="86" t="s">
        <v>17</v>
      </c>
      <c r="E38" s="86"/>
      <c r="F38" s="86"/>
      <c r="G38" s="86"/>
      <c r="H38" s="86"/>
      <c r="I38" s="86"/>
      <c r="J38" s="86"/>
      <c r="K38" s="86"/>
      <c r="L38" s="86"/>
      <c r="M38" s="86"/>
      <c r="N38" s="86"/>
      <c r="O38" s="86"/>
      <c r="P38" s="86"/>
      <c r="Q38" s="86"/>
    </row>
    <row r="39" spans="1:35" x14ac:dyDescent="0.25">
      <c r="A39" s="86"/>
      <c r="B39" s="86"/>
      <c r="C39" s="8"/>
      <c r="D39" s="94" t="s">
        <v>68</v>
      </c>
      <c r="E39" s="95"/>
      <c r="F39" s="95"/>
      <c r="G39" s="95"/>
      <c r="H39" s="95"/>
      <c r="I39" s="95"/>
      <c r="J39" s="95"/>
      <c r="K39" s="95"/>
      <c r="L39" s="95"/>
      <c r="M39" s="95"/>
      <c r="N39" s="95"/>
      <c r="O39" s="96">
        <v>10.5</v>
      </c>
      <c r="P39" s="96"/>
      <c r="Q39" s="96"/>
      <c r="R39" s="85"/>
      <c r="S39" s="85"/>
      <c r="T39" s="85"/>
      <c r="U39" s="85"/>
      <c r="V39" s="85"/>
      <c r="W39" s="85"/>
      <c r="X39" s="85"/>
      <c r="Y39" s="85"/>
    </row>
    <row r="40" spans="1:35" x14ac:dyDescent="0.25">
      <c r="A40" s="16"/>
      <c r="B40" s="16"/>
      <c r="C40" s="73"/>
      <c r="D40" s="25" t="s">
        <v>16</v>
      </c>
      <c r="E40" s="25"/>
      <c r="F40" s="25"/>
      <c r="G40" s="25"/>
      <c r="H40" s="25"/>
      <c r="I40" s="25"/>
      <c r="J40" s="25"/>
      <c r="K40" s="16"/>
      <c r="L40" s="16"/>
      <c r="M40" s="16"/>
      <c r="N40" s="16"/>
      <c r="O40" s="16"/>
      <c r="P40" s="16"/>
      <c r="Q40" s="16"/>
      <c r="R40" s="16"/>
    </row>
    <row r="41" spans="1:35" x14ac:dyDescent="0.25">
      <c r="A41" s="16"/>
      <c r="B41" s="16"/>
      <c r="C41" s="25"/>
      <c r="D41" s="25"/>
      <c r="E41" s="25"/>
      <c r="F41" s="25"/>
      <c r="G41" s="25"/>
      <c r="H41" s="25"/>
      <c r="I41" s="25"/>
      <c r="J41" s="25"/>
      <c r="K41" s="16"/>
      <c r="L41" s="16"/>
      <c r="M41" s="16"/>
      <c r="N41" s="16"/>
      <c r="O41" s="16"/>
      <c r="P41" s="16"/>
      <c r="Q41" s="16"/>
      <c r="R41" s="16"/>
    </row>
    <row r="42" spans="1:35" x14ac:dyDescent="0.25">
      <c r="A42" s="16"/>
      <c r="B42" s="15" t="s">
        <v>190</v>
      </c>
      <c r="C42" s="16"/>
      <c r="D42" s="16"/>
      <c r="E42" s="16"/>
      <c r="F42" s="16"/>
      <c r="G42" s="16"/>
      <c r="H42" s="16"/>
      <c r="I42" s="16"/>
      <c r="J42" s="16"/>
      <c r="K42" s="16"/>
      <c r="L42" s="16"/>
      <c r="M42" s="16"/>
      <c r="N42" s="44" t="str">
        <f>Blad1!BE2</f>
        <v/>
      </c>
      <c r="O42" s="16"/>
      <c r="P42" s="16"/>
      <c r="Q42" s="16"/>
      <c r="R42" s="16"/>
    </row>
    <row r="43" spans="1:35" x14ac:dyDescent="0.25">
      <c r="A43" s="16"/>
      <c r="B43" s="16" t="s">
        <v>98</v>
      </c>
      <c r="C43" s="132">
        <f>Blad1!AJ2*AB10+Blad1!AO2*AA12</f>
        <v>0</v>
      </c>
      <c r="D43" s="132"/>
      <c r="E43" s="132"/>
      <c r="F43" s="132"/>
      <c r="G43" s="31"/>
      <c r="H43" s="25" t="s">
        <v>100</v>
      </c>
      <c r="I43" s="26"/>
      <c r="J43" s="26"/>
      <c r="K43" s="25"/>
      <c r="L43" s="25"/>
      <c r="M43" s="25"/>
      <c r="N43" s="76">
        <f>IFERROR(C43/K32,0)</f>
        <v>0</v>
      </c>
      <c r="O43" s="76"/>
      <c r="Q43" s="25" t="s">
        <v>200</v>
      </c>
      <c r="R43" s="26"/>
      <c r="S43" s="132">
        <f>IFERROR(C43/K32,0)</f>
        <v>0</v>
      </c>
      <c r="T43" s="132"/>
      <c r="U43" s="76"/>
    </row>
    <row r="44" spans="1:35" x14ac:dyDescent="0.25">
      <c r="A44" s="16"/>
      <c r="B44" s="16" t="s">
        <v>99</v>
      </c>
      <c r="C44" s="134">
        <f>(C22*N17+C25*T25)*Y17+C26*N26*Y20+(C22*(N16*12)+(T25+10.72)*C25)*Y16+'Reserve-onderdelen'!H51*Y20+Y19*35*Y20*C22</f>
        <v>0</v>
      </c>
      <c r="D44" s="134"/>
      <c r="E44" s="134"/>
      <c r="F44" s="134"/>
      <c r="G44" s="26"/>
      <c r="H44" s="25" t="s">
        <v>100</v>
      </c>
      <c r="I44" s="26"/>
      <c r="J44" s="26"/>
      <c r="K44" s="25"/>
      <c r="L44" s="25"/>
      <c r="M44" s="25"/>
      <c r="N44" s="32">
        <f>(C22*AG16+AG25*C25)/12</f>
        <v>0</v>
      </c>
      <c r="O44" s="16"/>
      <c r="P44" s="16"/>
      <c r="Q44" s="16"/>
      <c r="R44" s="16"/>
    </row>
    <row r="45" spans="1:35" x14ac:dyDescent="0.25">
      <c r="A45" s="16"/>
      <c r="B45" s="16" t="s">
        <v>79</v>
      </c>
      <c r="C45" s="133">
        <f>Blad1!BA2</f>
        <v>0</v>
      </c>
      <c r="D45" s="133"/>
      <c r="E45" s="133"/>
      <c r="F45" s="133"/>
      <c r="O45" s="16"/>
      <c r="P45" s="16"/>
      <c r="Q45" s="16"/>
      <c r="R45" s="16"/>
    </row>
    <row r="46" spans="1:35" x14ac:dyDescent="0.25"/>
    <row r="47" spans="1:35" s="14" customFormat="1" x14ac:dyDescent="0.25">
      <c r="A47"/>
      <c r="B47" s="106" t="s">
        <v>69</v>
      </c>
      <c r="C47" s="106"/>
      <c r="D47" s="106"/>
      <c r="E47" s="106"/>
      <c r="F47" s="106"/>
      <c r="G47" s="106"/>
      <c r="H47" s="106"/>
      <c r="I47" s="106"/>
      <c r="J47" s="106"/>
      <c r="K47" s="106"/>
      <c r="L47" s="106"/>
      <c r="M47" s="106"/>
      <c r="N47" s="106"/>
    </row>
    <row r="48" spans="1:35" s="14" customFormat="1" x14ac:dyDescent="0.25">
      <c r="A48"/>
      <c r="B48" t="s">
        <v>210</v>
      </c>
      <c r="C48" s="87"/>
      <c r="D48" s="88"/>
      <c r="E48" s="88"/>
      <c r="F48" s="88"/>
      <c r="G48" s="88"/>
      <c r="H48" s="88"/>
      <c r="I48" s="88"/>
      <c r="J48" s="88"/>
      <c r="K48" s="88"/>
      <c r="L48" s="88"/>
      <c r="M48" s="88"/>
      <c r="N48" s="91"/>
      <c r="AG48">
        <f>IF(ISTEXT(C48),1,0)</f>
        <v>0</v>
      </c>
      <c r="AH48">
        <f>IF(ISNUMBER(C55),1,0)</f>
        <v>0</v>
      </c>
      <c r="AI48" s="14">
        <f>AG48+AH48</f>
        <v>0</v>
      </c>
    </row>
    <row r="49" spans="1:35" ht="15" customHeight="1" x14ac:dyDescent="0.25">
      <c r="B49" t="s">
        <v>21</v>
      </c>
      <c r="C49" s="87"/>
      <c r="D49" s="88"/>
      <c r="E49" s="88"/>
      <c r="F49" s="88"/>
      <c r="G49" s="88"/>
      <c r="H49" s="88"/>
      <c r="I49" s="88"/>
      <c r="J49" s="88"/>
      <c r="K49" s="88"/>
      <c r="L49" s="88"/>
      <c r="M49" s="88"/>
      <c r="N49" s="91"/>
      <c r="O49" s="33"/>
    </row>
    <row r="50" spans="1:35" ht="15" customHeight="1" x14ac:dyDescent="0.25">
      <c r="B50" t="s">
        <v>203</v>
      </c>
      <c r="C50" s="87"/>
      <c r="D50" s="88"/>
      <c r="E50" s="88"/>
      <c r="F50" s="88"/>
      <c r="G50" s="89"/>
      <c r="H50" s="89"/>
      <c r="I50" s="89"/>
      <c r="J50" s="89"/>
      <c r="K50" s="89"/>
      <c r="L50" s="89"/>
      <c r="M50" s="89"/>
      <c r="N50" s="90"/>
      <c r="O50" s="33"/>
    </row>
    <row r="51" spans="1:35" ht="15" customHeight="1" x14ac:dyDescent="0.25">
      <c r="B51" t="s">
        <v>22</v>
      </c>
      <c r="C51" s="87"/>
      <c r="D51" s="88"/>
      <c r="E51" s="88"/>
      <c r="F51" s="87"/>
      <c r="G51" s="88"/>
      <c r="H51" s="88"/>
      <c r="I51" s="88"/>
      <c r="J51" s="88"/>
      <c r="K51" s="88"/>
      <c r="L51" s="88"/>
      <c r="M51" s="88"/>
      <c r="N51" s="91"/>
      <c r="AG51" t="s">
        <v>216</v>
      </c>
    </row>
    <row r="52" spans="1:35" ht="15" customHeight="1" x14ac:dyDescent="0.25">
      <c r="B52" t="s">
        <v>23</v>
      </c>
      <c r="C52" s="87"/>
      <c r="D52" s="88"/>
      <c r="E52" s="88"/>
      <c r="F52" s="88"/>
      <c r="G52" s="92"/>
      <c r="H52" s="92"/>
      <c r="I52" s="92"/>
      <c r="J52" s="92"/>
      <c r="K52" s="92"/>
      <c r="L52" s="92"/>
      <c r="M52" s="92"/>
      <c r="N52" s="93"/>
      <c r="O52" s="33"/>
      <c r="AG52" t="s">
        <v>217</v>
      </c>
    </row>
    <row r="53" spans="1:35" ht="15" customHeight="1" x14ac:dyDescent="0.25">
      <c r="B53" t="s">
        <v>24</v>
      </c>
      <c r="C53" s="123"/>
      <c r="D53" s="124"/>
      <c r="E53" s="124"/>
      <c r="F53" s="124"/>
      <c r="G53" s="124"/>
      <c r="H53" s="124"/>
      <c r="I53" s="124"/>
      <c r="J53" s="124"/>
      <c r="K53" s="124"/>
      <c r="L53" s="124"/>
      <c r="M53" s="124"/>
      <c r="N53" s="125"/>
      <c r="O53" s="33"/>
      <c r="AG53" t="s">
        <v>218</v>
      </c>
    </row>
    <row r="54" spans="1:35" ht="15" customHeight="1" x14ac:dyDescent="0.25">
      <c r="B54" t="s">
        <v>29</v>
      </c>
      <c r="C54" s="87"/>
      <c r="D54" s="88"/>
      <c r="E54" s="88"/>
      <c r="F54" s="88"/>
      <c r="G54" s="88"/>
      <c r="H54" s="88"/>
      <c r="I54" s="88"/>
      <c r="J54" s="88"/>
      <c r="K54" s="88"/>
      <c r="L54" s="88"/>
      <c r="M54" s="88"/>
      <c r="N54" s="91"/>
      <c r="O54" s="33"/>
      <c r="AG54" t="s">
        <v>219</v>
      </c>
      <c r="AI54">
        <v>18</v>
      </c>
    </row>
    <row r="55" spans="1:35" ht="15" customHeight="1" x14ac:dyDescent="0.25">
      <c r="B55" t="s">
        <v>204</v>
      </c>
      <c r="C55" s="129"/>
      <c r="D55" s="130"/>
      <c r="E55" s="130"/>
      <c r="F55" s="131"/>
      <c r="G55" s="81"/>
      <c r="H55" s="80"/>
      <c r="I55" s="80"/>
      <c r="J55" s="80"/>
      <c r="K55" s="80"/>
      <c r="L55" s="80"/>
      <c r="M55" s="80"/>
      <c r="N55" s="82" t="s">
        <v>206</v>
      </c>
      <c r="P55" s="18"/>
      <c r="AF55" s="3"/>
      <c r="AG55" s="3">
        <f ca="1">TODAY()</f>
        <v>45592</v>
      </c>
      <c r="AH55" s="79">
        <f ca="1">EDATE(AG55,AI55)</f>
        <v>39017</v>
      </c>
      <c r="AI55">
        <f>AI54*-12</f>
        <v>-216</v>
      </c>
    </row>
    <row r="56" spans="1:35" ht="15" customHeight="1" x14ac:dyDescent="0.25">
      <c r="B56" s="26" t="s">
        <v>48</v>
      </c>
      <c r="C56" s="89"/>
      <c r="D56" s="89"/>
      <c r="E56" s="89"/>
      <c r="F56" s="89"/>
      <c r="G56" s="89"/>
      <c r="H56" s="89"/>
      <c r="I56" s="89"/>
      <c r="J56" s="89"/>
      <c r="K56" s="89"/>
      <c r="L56" s="89"/>
      <c r="M56" s="89"/>
      <c r="N56" s="89"/>
      <c r="O56" s="1"/>
      <c r="P56" s="1"/>
      <c r="Q56" s="1"/>
      <c r="R56" s="1"/>
      <c r="S56" s="1"/>
      <c r="T56" s="1"/>
      <c r="U56" s="1"/>
    </row>
    <row r="57" spans="1:35" ht="4.5" customHeight="1" x14ac:dyDescent="0.25">
      <c r="O57" s="1"/>
      <c r="P57" s="1"/>
      <c r="Q57" s="1"/>
      <c r="R57" s="1"/>
      <c r="S57" s="1"/>
      <c r="T57" s="1"/>
      <c r="U57" s="1"/>
      <c r="V57" s="1"/>
      <c r="W57" s="1"/>
      <c r="X57" s="1"/>
    </row>
    <row r="58" spans="1:35" ht="15" customHeight="1" x14ac:dyDescent="0.25">
      <c r="B58" t="s">
        <v>191</v>
      </c>
      <c r="C58" s="8"/>
      <c r="D58" t="s">
        <v>72</v>
      </c>
      <c r="G58" s="8" t="s">
        <v>66</v>
      </c>
      <c r="H58" t="s">
        <v>71</v>
      </c>
      <c r="O58" s="1"/>
      <c r="P58" s="1"/>
      <c r="Q58" s="1"/>
      <c r="R58" s="1"/>
      <c r="S58" s="1"/>
      <c r="T58" s="1"/>
      <c r="U58" s="1"/>
      <c r="V58" s="1"/>
      <c r="W58" s="1"/>
      <c r="X58" s="1"/>
    </row>
    <row r="59" spans="1:35" x14ac:dyDescent="0.25"/>
    <row r="60" spans="1:35" x14ac:dyDescent="0.25">
      <c r="B60" s="14" t="s">
        <v>27</v>
      </c>
      <c r="C60" s="14"/>
      <c r="D60" s="14"/>
      <c r="E60" s="14"/>
      <c r="F60" s="14"/>
      <c r="G60" s="14"/>
      <c r="H60" s="14"/>
      <c r="I60" s="14"/>
      <c r="J60" s="14"/>
      <c r="K60" s="14"/>
      <c r="L60" s="14"/>
      <c r="M60" s="14"/>
      <c r="N60" s="14"/>
      <c r="O60" s="14"/>
      <c r="P60" s="14"/>
      <c r="Q60" s="14"/>
      <c r="R60" s="14"/>
      <c r="S60" s="14"/>
      <c r="T60" s="14"/>
      <c r="U60" s="14"/>
      <c r="V60" s="14"/>
      <c r="W60" s="14"/>
      <c r="X60" s="14"/>
    </row>
    <row r="61" spans="1:35" ht="15" customHeight="1" x14ac:dyDescent="0.25">
      <c r="B61" s="101" t="s">
        <v>92</v>
      </c>
      <c r="C61" s="101"/>
      <c r="D61" s="101"/>
      <c r="E61" s="101"/>
      <c r="F61" s="101"/>
      <c r="G61" s="101"/>
      <c r="H61" s="101"/>
      <c r="I61" s="101"/>
      <c r="J61" s="101"/>
      <c r="K61" s="101"/>
      <c r="L61" s="101"/>
      <c r="M61" s="101"/>
      <c r="N61" s="101"/>
      <c r="O61" s="101"/>
      <c r="P61" s="101"/>
      <c r="Q61" s="101"/>
      <c r="R61" s="101"/>
      <c r="S61" s="101"/>
      <c r="T61" s="101"/>
      <c r="AG61">
        <f>IF(C63="Geen afwijkend adres",0,1)</f>
        <v>0</v>
      </c>
      <c r="AH61">
        <f>IF(C63="",0,1)</f>
        <v>1</v>
      </c>
      <c r="AI61">
        <f>AG61+AH61</f>
        <v>1</v>
      </c>
    </row>
    <row r="62" spans="1:35" x14ac:dyDescent="0.25">
      <c r="B62" s="101"/>
      <c r="C62" s="101"/>
      <c r="D62" s="101"/>
      <c r="E62" s="101"/>
      <c r="F62" s="101"/>
      <c r="G62" s="101"/>
      <c r="H62" s="101"/>
      <c r="I62" s="101"/>
      <c r="J62" s="101"/>
      <c r="K62" s="101"/>
      <c r="L62" s="101"/>
      <c r="M62" s="101"/>
      <c r="N62" s="101"/>
      <c r="O62" s="101"/>
      <c r="P62" s="101"/>
      <c r="Q62" s="101"/>
      <c r="R62" s="101"/>
      <c r="S62" s="101"/>
      <c r="T62" s="101"/>
    </row>
    <row r="63" spans="1:35" ht="15" customHeight="1" x14ac:dyDescent="0.25">
      <c r="A63" s="99"/>
      <c r="B63" s="122"/>
      <c r="C63" s="118" t="s">
        <v>65</v>
      </c>
      <c r="D63" s="119"/>
      <c r="E63" s="119"/>
      <c r="F63" s="119"/>
      <c r="G63" s="119"/>
      <c r="H63" s="119"/>
      <c r="I63" s="119"/>
      <c r="J63" s="119"/>
      <c r="K63" s="119"/>
      <c r="L63" s="119"/>
      <c r="M63" s="119"/>
      <c r="N63" s="120"/>
      <c r="AF63" s="26" t="s">
        <v>65</v>
      </c>
      <c r="AI63">
        <f>_xlfn.IFS(SUM(C22:C27)=0,0)</f>
        <v>0</v>
      </c>
    </row>
    <row r="64" spans="1:35" ht="15" customHeight="1" x14ac:dyDescent="0.25">
      <c r="A64" s="1"/>
      <c r="B64" s="25" t="s">
        <v>60</v>
      </c>
      <c r="C64" s="108"/>
      <c r="D64" s="108"/>
      <c r="E64" s="108"/>
      <c r="F64" s="108"/>
      <c r="G64" s="108"/>
      <c r="H64" s="108"/>
      <c r="I64" s="108"/>
      <c r="J64" s="108"/>
      <c r="K64" s="108"/>
      <c r="L64" s="108"/>
      <c r="M64" s="108"/>
      <c r="N64" s="108"/>
      <c r="AF64" s="25" t="s">
        <v>58</v>
      </c>
      <c r="AI64">
        <f>IF(C63="Verzending naar postNL-punt",1,0)</f>
        <v>0</v>
      </c>
    </row>
    <row r="65" spans="1:32" ht="15" customHeight="1" x14ac:dyDescent="0.25">
      <c r="A65" s="1"/>
      <c r="B65" s="25" t="s">
        <v>63</v>
      </c>
      <c r="C65" s="108"/>
      <c r="D65" s="108"/>
      <c r="E65" s="108"/>
      <c r="F65" s="108"/>
      <c r="G65" s="108"/>
      <c r="H65" s="108"/>
      <c r="I65" s="108"/>
      <c r="J65" s="108"/>
      <c r="K65" s="108"/>
      <c r="L65" s="108"/>
      <c r="M65" s="108"/>
      <c r="N65" s="108"/>
      <c r="AF65" s="25" t="s">
        <v>55</v>
      </c>
    </row>
    <row r="66" spans="1:32" s="16" customFormat="1" x14ac:dyDescent="0.25">
      <c r="A66"/>
      <c r="B66" s="26" t="s">
        <v>203</v>
      </c>
      <c r="C66" s="108"/>
      <c r="D66" s="108"/>
      <c r="E66" s="108"/>
      <c r="F66" s="108"/>
      <c r="G66" s="108"/>
      <c r="H66" s="108"/>
      <c r="I66" s="108"/>
      <c r="J66" s="108"/>
      <c r="K66" s="108"/>
      <c r="L66" s="108"/>
      <c r="M66" s="108"/>
      <c r="N66" s="108"/>
      <c r="O66"/>
      <c r="P66"/>
      <c r="Q66"/>
      <c r="R66"/>
      <c r="S66"/>
      <c r="T66"/>
      <c r="U66"/>
      <c r="V66"/>
      <c r="W66"/>
      <c r="X66"/>
    </row>
    <row r="67" spans="1:32" ht="15" customHeight="1" x14ac:dyDescent="0.25">
      <c r="B67" s="26" t="s">
        <v>22</v>
      </c>
      <c r="C67" s="121"/>
      <c r="D67" s="121"/>
      <c r="E67" s="121"/>
      <c r="F67" s="121"/>
      <c r="G67" s="121"/>
      <c r="H67" s="121"/>
      <c r="I67" s="121"/>
      <c r="J67" s="121"/>
      <c r="K67" s="121"/>
      <c r="L67" s="121"/>
      <c r="M67" s="121"/>
      <c r="N67" s="121"/>
      <c r="O67" s="16"/>
      <c r="P67" s="16"/>
      <c r="Q67" s="16"/>
      <c r="R67" s="16"/>
      <c r="S67" s="16"/>
      <c r="T67" s="16"/>
      <c r="U67" s="16"/>
      <c r="V67" s="16"/>
      <c r="W67" s="16"/>
      <c r="X67" s="16"/>
    </row>
    <row r="68" spans="1:32" x14ac:dyDescent="0.25">
      <c r="B68" s="26" t="s">
        <v>23</v>
      </c>
      <c r="C68" s="108"/>
      <c r="D68" s="108"/>
      <c r="E68" s="108"/>
      <c r="F68" s="108"/>
      <c r="G68" s="108"/>
      <c r="H68" s="108"/>
      <c r="I68" s="108"/>
      <c r="J68" s="108"/>
      <c r="K68" s="108"/>
      <c r="L68" s="108"/>
      <c r="M68" s="108"/>
      <c r="N68" s="108"/>
      <c r="O68" s="16"/>
      <c r="P68" s="16"/>
      <c r="Q68" s="16"/>
      <c r="R68" s="16"/>
      <c r="S68" s="16"/>
      <c r="T68" s="16"/>
      <c r="U68" s="16"/>
      <c r="V68" s="16"/>
      <c r="W68" s="16"/>
      <c r="X68" s="16"/>
      <c r="AF68" s="16"/>
    </row>
    <row r="69" spans="1:32" ht="2.25" customHeight="1" x14ac:dyDescent="0.25">
      <c r="A69" s="16"/>
      <c r="B69" s="106" t="s">
        <v>28</v>
      </c>
      <c r="C69" s="106"/>
      <c r="D69" s="106"/>
      <c r="E69" s="106"/>
      <c r="F69" s="106"/>
      <c r="G69" s="106"/>
      <c r="H69" s="106"/>
      <c r="I69" s="106"/>
      <c r="J69" s="106"/>
      <c r="K69" s="106"/>
      <c r="L69" s="106"/>
      <c r="M69" s="106"/>
      <c r="N69" s="106"/>
      <c r="O69" s="14"/>
      <c r="P69" s="14"/>
      <c r="Q69" s="14"/>
      <c r="R69" s="14"/>
      <c r="S69" s="14"/>
      <c r="T69" s="14"/>
      <c r="U69" s="14"/>
      <c r="V69" s="14"/>
      <c r="W69" s="14"/>
      <c r="X69" s="14"/>
    </row>
    <row r="70" spans="1:32" x14ac:dyDescent="0.25">
      <c r="B70" s="107"/>
      <c r="C70" s="107"/>
      <c r="D70" s="107"/>
      <c r="E70" s="107"/>
      <c r="F70" s="107"/>
      <c r="G70" s="107"/>
      <c r="H70" s="107"/>
      <c r="I70" s="107"/>
      <c r="J70" s="107"/>
      <c r="K70" s="107"/>
      <c r="L70" s="107"/>
      <c r="M70" s="107"/>
      <c r="N70" s="107"/>
      <c r="O70" s="14"/>
      <c r="P70" s="14"/>
      <c r="Q70" s="14"/>
      <c r="R70" s="14"/>
      <c r="S70" s="14"/>
      <c r="T70" s="14"/>
      <c r="U70" s="14"/>
      <c r="V70" s="14"/>
      <c r="W70" s="14"/>
      <c r="X70" s="14"/>
    </row>
    <row r="71" spans="1:32" x14ac:dyDescent="0.25">
      <c r="B71" s="109"/>
      <c r="C71" s="110"/>
      <c r="D71" s="110"/>
      <c r="E71" s="110"/>
      <c r="F71" s="110"/>
      <c r="G71" s="110"/>
      <c r="H71" s="110"/>
      <c r="I71" s="110"/>
      <c r="J71" s="110"/>
      <c r="K71" s="110"/>
      <c r="L71" s="110"/>
      <c r="M71" s="110"/>
      <c r="N71" s="110"/>
      <c r="O71" s="110"/>
      <c r="P71" s="110"/>
      <c r="Q71" s="110"/>
      <c r="R71" s="110"/>
      <c r="S71" s="110"/>
      <c r="T71" s="111"/>
    </row>
    <row r="72" spans="1:32" x14ac:dyDescent="0.25">
      <c r="B72" s="112"/>
      <c r="C72" s="113"/>
      <c r="D72" s="113"/>
      <c r="E72" s="113"/>
      <c r="F72" s="113"/>
      <c r="G72" s="113"/>
      <c r="H72" s="113"/>
      <c r="I72" s="113"/>
      <c r="J72" s="113"/>
      <c r="K72" s="113"/>
      <c r="L72" s="113"/>
      <c r="M72" s="113"/>
      <c r="N72" s="113"/>
      <c r="O72" s="113"/>
      <c r="P72" s="113"/>
      <c r="Q72" s="113"/>
      <c r="R72" s="113"/>
      <c r="S72" s="113"/>
      <c r="T72" s="114"/>
    </row>
    <row r="73" spans="1:32" x14ac:dyDescent="0.25">
      <c r="B73" s="112"/>
      <c r="C73" s="113"/>
      <c r="D73" s="113"/>
      <c r="E73" s="113"/>
      <c r="F73" s="113"/>
      <c r="G73" s="113"/>
      <c r="H73" s="113"/>
      <c r="I73" s="113"/>
      <c r="J73" s="113"/>
      <c r="K73" s="113"/>
      <c r="L73" s="113"/>
      <c r="M73" s="113"/>
      <c r="N73" s="113"/>
      <c r="O73" s="113"/>
      <c r="P73" s="113"/>
      <c r="Q73" s="113"/>
      <c r="R73" s="113"/>
      <c r="S73" s="113"/>
      <c r="T73" s="114"/>
    </row>
    <row r="74" spans="1:32" x14ac:dyDescent="0.25">
      <c r="B74" s="112"/>
      <c r="C74" s="113"/>
      <c r="D74" s="113"/>
      <c r="E74" s="113"/>
      <c r="F74" s="113"/>
      <c r="G74" s="113"/>
      <c r="H74" s="113"/>
      <c r="I74" s="113"/>
      <c r="J74" s="113"/>
      <c r="K74" s="113"/>
      <c r="L74" s="113"/>
      <c r="M74" s="113"/>
      <c r="N74" s="113"/>
      <c r="O74" s="113"/>
      <c r="P74" s="113"/>
      <c r="Q74" s="113"/>
      <c r="R74" s="113"/>
      <c r="S74" s="113"/>
      <c r="T74" s="114"/>
    </row>
    <row r="75" spans="1:32" x14ac:dyDescent="0.25">
      <c r="B75" s="115"/>
      <c r="C75" s="116"/>
      <c r="D75" s="116"/>
      <c r="E75" s="116"/>
      <c r="F75" s="116"/>
      <c r="G75" s="116"/>
      <c r="H75" s="116"/>
      <c r="I75" s="116"/>
      <c r="J75" s="116"/>
      <c r="K75" s="116"/>
      <c r="L75" s="116"/>
      <c r="M75" s="116"/>
      <c r="N75" s="116"/>
      <c r="O75" s="116"/>
      <c r="P75" s="116"/>
      <c r="Q75" s="116"/>
      <c r="R75" s="116"/>
      <c r="S75" s="116"/>
      <c r="T75" s="117"/>
    </row>
    <row r="76" spans="1:32" x14ac:dyDescent="0.25"/>
    <row r="77" spans="1:32" x14ac:dyDescent="0.25">
      <c r="B77" s="105" t="s">
        <v>26</v>
      </c>
      <c r="C77" s="105"/>
      <c r="D77" s="105"/>
      <c r="E77" s="105"/>
      <c r="F77" s="105"/>
      <c r="G77" s="105"/>
      <c r="H77" s="105"/>
      <c r="I77" s="105"/>
      <c r="J77" s="105"/>
      <c r="K77" s="105"/>
      <c r="L77" s="105"/>
      <c r="M77" s="105"/>
      <c r="N77" s="105"/>
      <c r="O77" s="105"/>
      <c r="P77" s="105"/>
      <c r="Q77" s="105"/>
      <c r="R77" s="105"/>
      <c r="S77" s="105"/>
      <c r="T77" s="36"/>
      <c r="U77" s="36"/>
      <c r="V77" s="36"/>
      <c r="W77" s="36"/>
      <c r="X77" s="36"/>
    </row>
    <row r="78" spans="1:32" x14ac:dyDescent="0.25">
      <c r="B78" s="35"/>
      <c r="C78" s="35"/>
      <c r="D78" s="35"/>
      <c r="E78" s="35"/>
      <c r="F78" s="35"/>
      <c r="G78" s="35"/>
      <c r="H78" s="35"/>
      <c r="I78" s="35"/>
      <c r="J78" s="35"/>
      <c r="K78" s="35"/>
      <c r="L78" s="35"/>
      <c r="M78" s="35"/>
      <c r="N78" s="35"/>
      <c r="O78" s="35"/>
      <c r="P78" s="35"/>
      <c r="Q78" s="35"/>
      <c r="R78" s="35"/>
      <c r="S78" s="35"/>
      <c r="T78" s="36"/>
      <c r="U78" s="36"/>
      <c r="V78" s="36"/>
      <c r="W78" s="36"/>
      <c r="X78" s="36"/>
    </row>
    <row r="79" spans="1:32" ht="14.25" customHeight="1" x14ac:dyDescent="0.25">
      <c r="B79" s="37" t="s">
        <v>176</v>
      </c>
      <c r="C79" s="35"/>
      <c r="D79" s="35"/>
      <c r="E79" s="35"/>
      <c r="F79" s="35"/>
      <c r="G79" s="35"/>
      <c r="H79" s="35"/>
      <c r="I79" s="35"/>
      <c r="J79" s="35"/>
      <c r="K79" s="35"/>
      <c r="L79" s="35"/>
      <c r="M79" s="35"/>
      <c r="N79" s="35"/>
      <c r="O79" s="35"/>
      <c r="P79" s="35"/>
      <c r="Q79" s="35"/>
      <c r="R79" s="35"/>
      <c r="S79" s="35"/>
      <c r="T79" s="36"/>
      <c r="U79" s="36"/>
      <c r="V79" s="36"/>
      <c r="W79" s="36"/>
      <c r="X79" s="36"/>
    </row>
    <row r="80" spans="1:32" x14ac:dyDescent="0.25">
      <c r="B80" s="101" t="s">
        <v>189</v>
      </c>
      <c r="C80" s="101"/>
      <c r="D80" s="101"/>
      <c r="E80" s="101"/>
      <c r="F80" s="101"/>
      <c r="G80" s="101"/>
      <c r="H80" s="101"/>
      <c r="I80" s="101"/>
      <c r="J80" s="101"/>
      <c r="K80" s="101"/>
      <c r="L80" s="101"/>
      <c r="M80" s="101"/>
      <c r="N80" s="101"/>
      <c r="O80" s="101"/>
      <c r="P80" s="101"/>
      <c r="Q80" s="101"/>
      <c r="R80" s="101"/>
      <c r="S80" s="101"/>
      <c r="T80" s="101"/>
      <c r="U80" s="36"/>
      <c r="V80" s="36"/>
      <c r="W80" s="36"/>
      <c r="X80" s="36"/>
    </row>
    <row r="81" spans="1:24" ht="16.5" customHeight="1" x14ac:dyDescent="0.25">
      <c r="B81" s="101"/>
      <c r="C81" s="101"/>
      <c r="D81" s="101"/>
      <c r="E81" s="101"/>
      <c r="F81" s="101"/>
      <c r="G81" s="101"/>
      <c r="H81" s="101"/>
      <c r="I81" s="101"/>
      <c r="J81" s="101"/>
      <c r="K81" s="101"/>
      <c r="L81" s="101"/>
      <c r="M81" s="101"/>
      <c r="N81" s="101"/>
      <c r="O81" s="101"/>
      <c r="P81" s="101"/>
      <c r="Q81" s="101"/>
      <c r="R81" s="101"/>
      <c r="S81" s="101"/>
      <c r="T81" s="101"/>
      <c r="U81" s="36"/>
      <c r="V81" s="36"/>
      <c r="W81" s="36"/>
      <c r="X81" s="36"/>
    </row>
    <row r="82" spans="1:24" ht="16.5" customHeight="1" x14ac:dyDescent="0.25">
      <c r="B82" s="34"/>
      <c r="C82" s="34"/>
      <c r="D82" s="34"/>
      <c r="E82" s="34"/>
      <c r="F82" s="34"/>
      <c r="G82" s="34"/>
      <c r="H82" s="34"/>
      <c r="I82" s="34"/>
      <c r="J82" s="34"/>
      <c r="K82" s="34"/>
      <c r="L82" s="34"/>
      <c r="M82" s="34"/>
      <c r="N82" s="34"/>
      <c r="O82" s="34"/>
      <c r="P82" s="34"/>
      <c r="Q82" s="34"/>
      <c r="R82" s="34"/>
      <c r="S82" s="34"/>
      <c r="T82" s="34"/>
      <c r="U82" s="36"/>
      <c r="V82" s="36"/>
      <c r="W82" s="36"/>
      <c r="X82" s="36"/>
    </row>
    <row r="83" spans="1:24" ht="15" customHeight="1" x14ac:dyDescent="0.25">
      <c r="B83" s="37" t="s">
        <v>183</v>
      </c>
      <c r="C83" s="34"/>
      <c r="D83" s="34"/>
      <c r="E83" s="34"/>
      <c r="F83" s="34"/>
      <c r="G83" s="34"/>
      <c r="H83" s="34"/>
      <c r="I83" s="34"/>
      <c r="J83" s="34"/>
      <c r="K83" s="34"/>
      <c r="L83" s="34"/>
      <c r="M83" s="34"/>
      <c r="N83" s="34"/>
      <c r="O83" s="34"/>
      <c r="P83" s="34"/>
      <c r="Q83" s="34"/>
      <c r="R83" s="34"/>
      <c r="S83" s="34"/>
      <c r="T83" s="34"/>
      <c r="U83" s="36"/>
      <c r="V83" s="36"/>
      <c r="W83" s="36"/>
      <c r="X83" s="36"/>
    </row>
    <row r="84" spans="1:24" ht="81" customHeight="1" x14ac:dyDescent="0.25">
      <c r="B84" s="101" t="s">
        <v>201</v>
      </c>
      <c r="C84" s="101"/>
      <c r="D84" s="101"/>
      <c r="E84" s="101"/>
      <c r="F84" s="101"/>
      <c r="G84" s="101"/>
      <c r="H84" s="101"/>
      <c r="I84" s="101"/>
      <c r="J84" s="101"/>
      <c r="K84" s="101"/>
      <c r="L84" s="101"/>
      <c r="M84" s="101"/>
      <c r="N84" s="101"/>
      <c r="O84" s="101"/>
      <c r="P84" s="101"/>
      <c r="Q84" s="101"/>
      <c r="R84" s="101"/>
      <c r="S84" s="101"/>
      <c r="T84" s="101"/>
      <c r="U84" s="36"/>
      <c r="V84" s="36"/>
      <c r="W84" s="36"/>
      <c r="X84" s="36"/>
    </row>
    <row r="85" spans="1:24" x14ac:dyDescent="0.25">
      <c r="B85" s="34"/>
      <c r="C85" s="34"/>
      <c r="D85" s="34"/>
      <c r="E85" s="34"/>
      <c r="F85" s="34"/>
      <c r="G85" s="34"/>
      <c r="H85" s="34"/>
      <c r="I85" s="34"/>
      <c r="J85" s="34"/>
      <c r="K85" s="34"/>
      <c r="L85" s="34"/>
      <c r="M85" s="34"/>
      <c r="N85" s="34"/>
      <c r="O85" s="34"/>
      <c r="P85" s="34"/>
      <c r="Q85" s="34"/>
      <c r="R85" s="34"/>
      <c r="S85" s="34"/>
      <c r="T85" s="34"/>
      <c r="U85" s="36"/>
      <c r="V85" s="36"/>
      <c r="W85" s="36"/>
      <c r="X85" s="36"/>
    </row>
    <row r="86" spans="1:24" x14ac:dyDescent="0.25">
      <c r="B86" s="37" t="s">
        <v>101</v>
      </c>
      <c r="C86" s="35"/>
      <c r="D86" s="35"/>
      <c r="E86" s="35"/>
      <c r="F86" s="35"/>
      <c r="G86" s="35"/>
      <c r="H86" s="35"/>
      <c r="I86" s="35"/>
      <c r="J86" s="35"/>
      <c r="K86" s="35"/>
      <c r="L86" s="35"/>
      <c r="M86" s="35"/>
      <c r="N86" s="35"/>
      <c r="O86" s="35"/>
      <c r="P86" s="35"/>
      <c r="Q86" s="35"/>
      <c r="R86" s="35"/>
      <c r="S86" s="35"/>
      <c r="T86" s="36"/>
      <c r="U86" s="36"/>
      <c r="V86" s="36"/>
      <c r="W86" s="36"/>
      <c r="X86" s="36"/>
    </row>
    <row r="87" spans="1:24" x14ac:dyDescent="0.25">
      <c r="B87" s="101" t="s">
        <v>180</v>
      </c>
      <c r="C87" s="101"/>
      <c r="D87" s="101"/>
      <c r="E87" s="101"/>
      <c r="F87" s="101"/>
      <c r="G87" s="101"/>
      <c r="H87" s="101"/>
      <c r="I87" s="101"/>
      <c r="J87" s="101"/>
      <c r="K87" s="101"/>
      <c r="L87" s="101"/>
      <c r="M87" s="101"/>
      <c r="N87" s="101"/>
      <c r="O87" s="101"/>
      <c r="P87" s="101"/>
      <c r="Q87" s="101"/>
      <c r="R87" s="101"/>
      <c r="S87" s="101"/>
      <c r="T87" s="101"/>
      <c r="U87" s="36"/>
      <c r="V87" s="36"/>
      <c r="W87" s="36"/>
      <c r="X87" s="36"/>
    </row>
    <row r="88" spans="1:24" x14ac:dyDescent="0.25">
      <c r="B88" s="101"/>
      <c r="C88" s="101"/>
      <c r="D88" s="101"/>
      <c r="E88" s="101"/>
      <c r="F88" s="101"/>
      <c r="G88" s="101"/>
      <c r="H88" s="101"/>
      <c r="I88" s="101"/>
      <c r="J88" s="101"/>
      <c r="K88" s="101"/>
      <c r="L88" s="101"/>
      <c r="M88" s="101"/>
      <c r="N88" s="101"/>
      <c r="O88" s="101"/>
      <c r="P88" s="101"/>
      <c r="Q88" s="101"/>
      <c r="R88" s="101"/>
      <c r="S88" s="101"/>
      <c r="T88" s="101"/>
      <c r="U88" s="36"/>
      <c r="V88" s="36"/>
      <c r="W88" s="36"/>
      <c r="X88" s="36"/>
    </row>
    <row r="89" spans="1:24" x14ac:dyDescent="0.25">
      <c r="B89" s="36"/>
      <c r="C89" s="36"/>
      <c r="D89" s="36"/>
      <c r="E89" s="36"/>
      <c r="F89" s="36"/>
      <c r="G89" s="36"/>
      <c r="H89" s="36"/>
      <c r="I89" s="36"/>
      <c r="J89" s="36"/>
      <c r="K89" s="36"/>
      <c r="L89" s="36"/>
      <c r="M89" s="36"/>
      <c r="N89" s="36"/>
      <c r="O89" s="36"/>
      <c r="P89" s="36"/>
      <c r="Q89" s="36"/>
      <c r="R89" s="36"/>
      <c r="S89" s="36"/>
      <c r="T89" s="36"/>
      <c r="U89" s="36"/>
      <c r="V89" s="36"/>
      <c r="W89" s="36"/>
      <c r="X89" s="36"/>
    </row>
    <row r="90" spans="1:24" ht="156" customHeight="1" x14ac:dyDescent="0.25">
      <c r="B90" s="101" t="s">
        <v>208</v>
      </c>
      <c r="C90" s="101"/>
      <c r="D90" s="101"/>
      <c r="E90" s="101"/>
      <c r="F90" s="101"/>
      <c r="G90" s="101"/>
      <c r="H90" s="101"/>
      <c r="I90" s="101"/>
      <c r="J90" s="101"/>
      <c r="K90" s="101"/>
      <c r="L90" s="101"/>
      <c r="M90" s="101"/>
      <c r="N90" s="101"/>
      <c r="O90" s="101"/>
      <c r="P90" s="101"/>
      <c r="Q90" s="101"/>
      <c r="R90" s="101"/>
      <c r="S90" s="101"/>
      <c r="T90" s="101"/>
    </row>
    <row r="91" spans="1:24" ht="14.25" customHeight="1" x14ac:dyDescent="0.25">
      <c r="B91" s="38"/>
      <c r="C91" s="38"/>
      <c r="D91" s="38"/>
      <c r="E91" s="38"/>
      <c r="F91" s="38"/>
      <c r="G91" s="38"/>
      <c r="H91" s="38"/>
      <c r="I91" s="38"/>
      <c r="J91" s="38"/>
      <c r="K91" s="38"/>
      <c r="L91" s="38"/>
      <c r="M91" s="38"/>
      <c r="N91" s="38"/>
      <c r="O91" s="38"/>
      <c r="P91" s="38"/>
      <c r="Q91" s="38"/>
      <c r="R91" s="38"/>
      <c r="S91" s="38"/>
      <c r="T91" s="38"/>
    </row>
    <row r="92" spans="1:24" ht="15" customHeight="1" x14ac:dyDescent="0.25">
      <c r="B92" s="39" t="s">
        <v>193</v>
      </c>
      <c r="C92" s="38"/>
      <c r="D92" s="38"/>
      <c r="E92" s="38"/>
      <c r="F92" s="38"/>
      <c r="G92" s="38"/>
      <c r="H92" s="38"/>
      <c r="I92" s="38"/>
      <c r="J92" s="38"/>
      <c r="K92" s="38"/>
      <c r="L92" s="38"/>
      <c r="M92" s="38"/>
      <c r="N92" s="38"/>
      <c r="O92" s="38"/>
      <c r="P92" s="38"/>
      <c r="Q92" s="38"/>
      <c r="R92" s="38"/>
      <c r="S92" s="38"/>
      <c r="T92" s="38"/>
    </row>
    <row r="93" spans="1:24" ht="15" customHeight="1" x14ac:dyDescent="0.25">
      <c r="B93" s="101" t="s">
        <v>199</v>
      </c>
      <c r="C93" s="101"/>
      <c r="D93" s="101"/>
      <c r="E93" s="101"/>
      <c r="F93" s="101"/>
      <c r="G93" s="101"/>
      <c r="H93" s="101"/>
      <c r="I93" s="101"/>
      <c r="J93" s="101"/>
      <c r="K93" s="101"/>
      <c r="L93" s="101"/>
      <c r="M93" s="101"/>
      <c r="N93" s="101"/>
      <c r="O93" s="101"/>
      <c r="P93" s="101"/>
      <c r="Q93" s="101"/>
      <c r="R93" s="101"/>
      <c r="S93" s="101"/>
      <c r="T93" s="101"/>
      <c r="U93" s="77"/>
      <c r="V93" s="77"/>
      <c r="W93" s="77"/>
      <c r="X93" s="77"/>
    </row>
    <row r="94" spans="1:24" ht="30.75" customHeight="1" x14ac:dyDescent="0.25">
      <c r="B94" s="101"/>
      <c r="C94" s="101"/>
      <c r="D94" s="101"/>
      <c r="E94" s="101"/>
      <c r="F94" s="101"/>
      <c r="G94" s="101"/>
      <c r="H94" s="101"/>
      <c r="I94" s="101"/>
      <c r="J94" s="101"/>
      <c r="K94" s="101"/>
      <c r="L94" s="101"/>
      <c r="M94" s="101"/>
      <c r="N94" s="101"/>
      <c r="O94" s="101"/>
      <c r="P94" s="101"/>
      <c r="Q94" s="101"/>
      <c r="R94" s="101"/>
      <c r="S94" s="101"/>
      <c r="T94" s="101"/>
      <c r="U94" s="77"/>
      <c r="V94" s="77"/>
      <c r="W94" s="77"/>
      <c r="X94" s="77"/>
    </row>
    <row r="95" spans="1:24" x14ac:dyDescent="0.25">
      <c r="A95" s="100" t="s">
        <v>220</v>
      </c>
      <c r="B95" s="100"/>
      <c r="C95" s="100"/>
      <c r="D95" s="100"/>
      <c r="E95" s="100"/>
      <c r="F95" s="100"/>
      <c r="G95" s="100"/>
      <c r="H95" s="100"/>
      <c r="I95" s="100"/>
      <c r="J95" s="100"/>
      <c r="K95" s="100"/>
      <c r="L95" s="100"/>
      <c r="M95" s="100"/>
      <c r="N95" s="100"/>
      <c r="O95" s="100"/>
      <c r="P95" s="100"/>
      <c r="Q95" s="100"/>
      <c r="R95" s="100"/>
      <c r="S95" s="100"/>
      <c r="T95" s="100"/>
      <c r="U95" s="100"/>
      <c r="V95" s="100"/>
      <c r="W95" s="83"/>
    </row>
    <row r="96" spans="1:24" ht="15" hidden="1" customHeight="1" x14ac:dyDescent="0.25"/>
  </sheetData>
  <sheetProtection algorithmName="SHA-512" hashValue="Jmzq3KmLLmACIXKh0lLQFPdKDTuIthujG7Y2szigr0JcdYyq4HXUvq0BrtSgw5ECuV/hxIKaAFUKO7oKk1DYtw==" saltValue="CnBLZaJmG/JSwsbmtc8ExQ==" spinCount="100000" sheet="1" objects="1" scenarios="1" selectLockedCells="1"/>
  <mergeCells count="67">
    <mergeCell ref="O35:Q35"/>
    <mergeCell ref="T35:U35"/>
    <mergeCell ref="R35:S35"/>
    <mergeCell ref="C55:F55"/>
    <mergeCell ref="B6:V6"/>
    <mergeCell ref="S43:T43"/>
    <mergeCell ref="C45:F45"/>
    <mergeCell ref="C43:F43"/>
    <mergeCell ref="C44:F44"/>
    <mergeCell ref="A39:B39"/>
    <mergeCell ref="A38:B38"/>
    <mergeCell ref="A36:B36"/>
    <mergeCell ref="A35:B35"/>
    <mergeCell ref="D18:M18"/>
    <mergeCell ref="A26:B26"/>
    <mergeCell ref="A25:B25"/>
    <mergeCell ref="B61:T62"/>
    <mergeCell ref="B80:T81"/>
    <mergeCell ref="C53:N53"/>
    <mergeCell ref="C54:N54"/>
    <mergeCell ref="B47:N47"/>
    <mergeCell ref="B84:T84"/>
    <mergeCell ref="B87:T88"/>
    <mergeCell ref="C63:N63"/>
    <mergeCell ref="C67:E67"/>
    <mergeCell ref="F67:N67"/>
    <mergeCell ref="C66:N66"/>
    <mergeCell ref="A63:B63"/>
    <mergeCell ref="A95:V95"/>
    <mergeCell ref="B90:T90"/>
    <mergeCell ref="B93:T94"/>
    <mergeCell ref="D26:M26"/>
    <mergeCell ref="C56:N56"/>
    <mergeCell ref="F51:N51"/>
    <mergeCell ref="F29:I29"/>
    <mergeCell ref="F30:I30"/>
    <mergeCell ref="D27:M27"/>
    <mergeCell ref="B77:S77"/>
    <mergeCell ref="B69:N70"/>
    <mergeCell ref="N30:O30"/>
    <mergeCell ref="C68:N68"/>
    <mergeCell ref="C64:N64"/>
    <mergeCell ref="C65:N65"/>
    <mergeCell ref="B71:T75"/>
    <mergeCell ref="A24:B24"/>
    <mergeCell ref="A23:B23"/>
    <mergeCell ref="A9:M9"/>
    <mergeCell ref="D19:M19"/>
    <mergeCell ref="D10:M10"/>
    <mergeCell ref="D11:M11"/>
    <mergeCell ref="D12:M12"/>
    <mergeCell ref="T25:U25"/>
    <mergeCell ref="D16:M16"/>
    <mergeCell ref="D17:M17"/>
    <mergeCell ref="D23:M23"/>
    <mergeCell ref="D24:M24"/>
    <mergeCell ref="D25:M25"/>
    <mergeCell ref="D22:M22"/>
    <mergeCell ref="D37:Q37"/>
    <mergeCell ref="C50:N50"/>
    <mergeCell ref="C49:N49"/>
    <mergeCell ref="C51:E51"/>
    <mergeCell ref="C52:N52"/>
    <mergeCell ref="D38:Q38"/>
    <mergeCell ref="C48:N48"/>
    <mergeCell ref="D39:N39"/>
    <mergeCell ref="O39:Q39"/>
  </mergeCells>
  <conditionalFormatting sqref="B55">
    <cfRule type="expression" dxfId="48" priority="3">
      <formula>ISTEXT($C$48)</formula>
    </cfRule>
    <cfRule type="expression" dxfId="47" priority="12">
      <formula>$AC$18=1</formula>
    </cfRule>
  </conditionalFormatting>
  <conditionalFormatting sqref="B56">
    <cfRule type="expression" dxfId="46" priority="53">
      <formula>$C$12="X"</formula>
    </cfRule>
    <cfRule type="expression" dxfId="45" priority="57">
      <formula>$C$16="X"</formula>
    </cfRule>
  </conditionalFormatting>
  <conditionalFormatting sqref="B64:B68">
    <cfRule type="expression" dxfId="44" priority="70">
      <formula>$AI$61=2</formula>
    </cfRule>
  </conditionalFormatting>
  <conditionalFormatting sqref="C22:C27">
    <cfRule type="expression" dxfId="43" priority="73">
      <formula>$AI$63=0</formula>
    </cfRule>
  </conditionalFormatting>
  <conditionalFormatting sqref="C37:C38">
    <cfRule type="expression" dxfId="42" priority="22">
      <formula>$AA$13=1</formula>
    </cfRule>
    <cfRule type="expression" dxfId="41" priority="21">
      <formula>SUM($AA$10:$AA$13)=0</formula>
    </cfRule>
  </conditionalFormatting>
  <conditionalFormatting sqref="C39">
    <cfRule type="expression" dxfId="40" priority="82">
      <formula>SUM($AA$10:$AA$13)=0</formula>
    </cfRule>
  </conditionalFormatting>
  <conditionalFormatting sqref="C40">
    <cfRule type="expression" dxfId="39" priority="23">
      <formula>$C$19="X"</formula>
    </cfRule>
  </conditionalFormatting>
  <conditionalFormatting sqref="C43 G43">
    <cfRule type="expression" dxfId="38" priority="48">
      <formula>$C$10="X"</formula>
    </cfRule>
    <cfRule type="expression" dxfId="37" priority="46">
      <formula>$C$11="X"</formula>
    </cfRule>
  </conditionalFormatting>
  <conditionalFormatting sqref="C43">
    <cfRule type="expression" dxfId="36" priority="45">
      <formula>$C$12="X"</formula>
    </cfRule>
  </conditionalFormatting>
  <conditionalFormatting sqref="C44 G44">
    <cfRule type="expression" dxfId="35" priority="44">
      <formula>$C$17="X"</formula>
    </cfRule>
    <cfRule type="expression" dxfId="34" priority="43">
      <formula>$C$27&gt;0</formula>
    </cfRule>
  </conditionalFormatting>
  <conditionalFormatting sqref="C44:F44">
    <cfRule type="expression" dxfId="33" priority="39">
      <formula>$C$16="X"</formula>
    </cfRule>
    <cfRule type="expression" dxfId="32" priority="16">
      <formula>$C$18="X"</formula>
    </cfRule>
    <cfRule type="expression" dxfId="31" priority="15">
      <formula>$C$19="X"</formula>
    </cfRule>
  </conditionalFormatting>
  <conditionalFormatting sqref="C55:F55">
    <cfRule type="cellIs" dxfId="30" priority="13" operator="equal">
      <formula>0</formula>
    </cfRule>
  </conditionalFormatting>
  <conditionalFormatting sqref="C49:N50 C51 F51 C52:N54 C63:N63">
    <cfRule type="cellIs" dxfId="29" priority="68" operator="equal">
      <formula>0</formula>
    </cfRule>
  </conditionalFormatting>
  <conditionalFormatting sqref="C55:N55">
    <cfRule type="expression" dxfId="28" priority="4">
      <formula>ISTEXT($C$48)</formula>
    </cfRule>
    <cfRule type="expression" dxfId="27" priority="10">
      <formula>$AC$18=1</formula>
    </cfRule>
  </conditionalFormatting>
  <conditionalFormatting sqref="C56:N56">
    <cfRule type="expression" dxfId="26" priority="54">
      <formula>$C$12="X"</formula>
    </cfRule>
    <cfRule type="cellIs" dxfId="25" priority="8" operator="greaterThan">
      <formula>0</formula>
    </cfRule>
    <cfRule type="expression" dxfId="24" priority="55">
      <formula>$C$16="X"</formula>
    </cfRule>
  </conditionalFormatting>
  <conditionalFormatting sqref="C64:N68">
    <cfRule type="expression" dxfId="23" priority="79">
      <formula>$AI$61=2</formula>
    </cfRule>
  </conditionalFormatting>
  <conditionalFormatting sqref="C32:Q32">
    <cfRule type="expression" dxfId="22" priority="49">
      <formula>$C$12="X"</formula>
    </cfRule>
  </conditionalFormatting>
  <conditionalFormatting sqref="C31:R31">
    <cfRule type="expression" dxfId="21" priority="59">
      <formula>$C$10="X"</formula>
    </cfRule>
    <cfRule type="expression" dxfId="20" priority="60">
      <formula>$C$11="X"</formula>
    </cfRule>
  </conditionalFormatting>
  <conditionalFormatting sqref="D34">
    <cfRule type="expression" dxfId="19" priority="27">
      <formula>$C$19="X"</formula>
    </cfRule>
  </conditionalFormatting>
  <conditionalFormatting sqref="D40:D41">
    <cfRule type="expression" dxfId="18" priority="24">
      <formula>$C$19="X"</formula>
    </cfRule>
  </conditionalFormatting>
  <conditionalFormatting sqref="D20:L20 N20">
    <cfRule type="expression" dxfId="17" priority="30">
      <formula>$AA$18&gt;0</formula>
    </cfRule>
  </conditionalFormatting>
  <conditionalFormatting sqref="D37:Q38">
    <cfRule type="expression" dxfId="16" priority="25">
      <formula>$C$19="X"</formula>
    </cfRule>
  </conditionalFormatting>
  <conditionalFormatting sqref="D37:R38 D39">
    <cfRule type="expression" dxfId="15" priority="83">
      <formula>SUM($AA$10:$AA$13)=0</formula>
    </cfRule>
  </conditionalFormatting>
  <conditionalFormatting sqref="E13:E14">
    <cfRule type="expression" dxfId="14" priority="51">
      <formula>$C$12=""</formula>
    </cfRule>
  </conditionalFormatting>
  <conditionalFormatting sqref="E13:F14">
    <cfRule type="expression" dxfId="13" priority="52">
      <formula>$C$12=""</formula>
    </cfRule>
  </conditionalFormatting>
  <conditionalFormatting sqref="F29:I30">
    <cfRule type="cellIs" dxfId="12" priority="67" operator="equal">
      <formula>0</formula>
    </cfRule>
  </conditionalFormatting>
  <conditionalFormatting sqref="F30:I30">
    <cfRule type="expression" dxfId="11" priority="6">
      <formula>SUM($Y$16:$Y$19)&gt;0</formula>
    </cfRule>
  </conditionalFormatting>
  <conditionalFormatting sqref="G21">
    <cfRule type="expression" dxfId="10" priority="34">
      <formula>$C$12=""</formula>
    </cfRule>
  </conditionalFormatting>
  <conditionalFormatting sqref="H43:N43">
    <cfRule type="expression" dxfId="9" priority="41">
      <formula>$E$13="X"</formula>
    </cfRule>
  </conditionalFormatting>
  <conditionalFormatting sqref="H44:N44">
    <cfRule type="expression" dxfId="8" priority="40">
      <formula>$C$16="X"</formula>
    </cfRule>
  </conditionalFormatting>
  <conditionalFormatting sqref="H35:U35">
    <cfRule type="expression" dxfId="7" priority="26">
      <formula>$C$19="X"</formula>
    </cfRule>
  </conditionalFormatting>
  <conditionalFormatting sqref="I34:L34">
    <cfRule type="expression" dxfId="6" priority="28">
      <formula>$C$19="X"</formula>
    </cfRule>
  </conditionalFormatting>
  <conditionalFormatting sqref="K31">
    <cfRule type="expression" dxfId="5" priority="2">
      <formula>$AA$10+$K$31&gt;2</formula>
    </cfRule>
  </conditionalFormatting>
  <conditionalFormatting sqref="M20 O20">
    <cfRule type="expression" dxfId="4" priority="29">
      <formula>$AA$18&gt;0</formula>
    </cfRule>
  </conditionalFormatting>
  <conditionalFormatting sqref="N49">
    <cfRule type="cellIs" dxfId="3" priority="5" operator="equal">
      <formula>0</formula>
    </cfRule>
  </conditionalFormatting>
  <conditionalFormatting sqref="O39">
    <cfRule type="expression" dxfId="2" priority="1">
      <formula>SUM($AA$10:$AA$13)=0</formula>
    </cfRule>
  </conditionalFormatting>
  <conditionalFormatting sqref="P55">
    <cfRule type="expression" dxfId="1" priority="9">
      <formula>$AC$18=1</formula>
    </cfRule>
  </conditionalFormatting>
  <conditionalFormatting sqref="Q43:T43">
    <cfRule type="expression" dxfId="0" priority="7">
      <formula>$C$12="X"</formula>
    </cfRule>
  </conditionalFormatting>
  <dataValidations count="9">
    <dataValidation type="date" operator="lessThan" allowBlank="1" showInputMessage="1" showErrorMessage="1" errorTitle="Ongeldige datum" error="De ingevoerde datum is ongeldig. Voer een datum in die eerder is dan &quot;Einde&quot; op de volgende wijze: dd-mm-jjjj." sqref="F29:I29" xr:uid="{589FCD78-278C-4712-972B-80F151B6EED8}">
      <formula1>F30</formula1>
    </dataValidation>
    <dataValidation type="date" operator="greaterThanOrEqual" allowBlank="1" showInputMessage="1" showErrorMessage="1" errorTitle="Ongeldige datum" error="De ingevoerde datum is ongeldig. Voer een datum in die gelijk is of later is dan &quot;Aanvang&quot; op de volgende wijze: dd-mm-jjjj." sqref="F31:I32" xr:uid="{A41ACF68-34A8-4A16-8F5C-0EF86B71DB7C}">
      <formula1>F30</formula1>
    </dataValidation>
    <dataValidation type="whole" allowBlank="1" showInputMessage="1" showErrorMessage="1" errorTitle="Onjuiste gegevens" error="De ingevoerde waarde is niet toegestaan. Voer een geheel getal in tussen de 0-99." sqref="C22:C27" xr:uid="{42E941F9-9655-4F7A-9331-56535D615F7C}">
      <formula1>0</formula1>
      <formula2>99</formula2>
    </dataValidation>
    <dataValidation type="textLength" operator="lessThanOrEqual" allowBlank="1" showInputMessage="1" showErrorMessage="1" errorTitle="Onjuiste postcode" error="De opgegeven postcode is ongeldig. Voer de postcode in op de volgende wijze: &quot;1234 AB&quot;." sqref="C67:E67 C51:E51" xr:uid="{85D27DB3-5DC3-4E59-AC7A-4029B3C82FDB}">
      <formula1>7</formula1>
    </dataValidation>
    <dataValidation type="list" allowBlank="1" showInputMessage="1" showErrorMessage="1" sqref="C63:N63" xr:uid="{F6987269-71B1-4F4F-A237-60CEE1151017}">
      <formula1>$AF$63:$AF$65</formula1>
    </dataValidation>
    <dataValidation type="list" showInputMessage="1" showErrorMessage="1" sqref="C34:C35 C37:C40 C10:C12 C16:C20 G58 C58 E13:E14 M20 O20" xr:uid="{BF37756A-2BA0-425F-A0CC-62779D570EDA}">
      <formula1>$Y$9:$Y$10</formula1>
    </dataValidation>
    <dataValidation type="date" operator="greaterThan" allowBlank="1" showInputMessage="1" showErrorMessage="1" errorTitle="Ongeldige datum" error="De ingevoerde datum is ongeldig. Voer een datum in die later is dan &quot;Aanvang&quot; op de volgende wijze: dd-mm-jjjj. Het aantal gebruiksdagen moet minimaal 1 zijn (kort) of minimaal 2 maanden zijn (lang)." sqref="F30:I30" xr:uid="{8A9283D5-6A72-4382-A53C-A4AE76FBE7A9}">
      <formula1>F29</formula1>
    </dataValidation>
    <dataValidation type="date" operator="lessThanOrEqual" allowBlank="1" showInputMessage="1" showErrorMessage="1" errorTitle="Ongeldige datum" error="De ingevoerde datum is ongeldig. Let op: de cliënt dient minimaal 18 jaar oud te zijn, omdat deze een juridische overeenkomst aangaat. Anders dient de ouder als cliënt op te treden." sqref="C55:F55" xr:uid="{D076E0ED-C4F5-4F54-BD18-F4882909C2C3}">
      <formula1>AH55</formula1>
    </dataValidation>
    <dataValidation type="list" allowBlank="1" showInputMessage="1" showErrorMessage="1" errorTitle="Verzendland" error="Let op: kies een land uit de keuzelijst." promptTitle="Verzendland" prompt="Let op, wij verzenden alleen naar Nederland, België en Duitsland. Indien het pakket naar een ander land verstuurd dient te worden, neem dan contact met ons op!" sqref="C52:N52" xr:uid="{E89CEE10-66D9-4F0F-B78C-6E0E63E5CED9}">
      <formula1>$AG$51:$AG$54</formula1>
    </dataValidation>
  </dataValidations>
  <pageMargins left="0.7" right="0.7" top="0.75" bottom="0.75" header="0.3" footer="0.3"/>
  <pageSetup paperSize="9" scale="8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6FF3-E373-44E7-9CB7-58F1EA2FBB5A}">
  <dimension ref="A1:W52"/>
  <sheetViews>
    <sheetView showGridLines="0" showRowColHeaders="0" workbookViewId="0">
      <selection activeCell="G6" sqref="G6"/>
    </sheetView>
  </sheetViews>
  <sheetFormatPr defaultColWidth="0" defaultRowHeight="15" zeroHeight="1" x14ac:dyDescent="0.25"/>
  <cols>
    <col min="1" max="1" width="4.85546875" customWidth="1"/>
    <col min="2" max="2" width="10.140625" customWidth="1"/>
    <col min="3" max="3" width="19.140625" customWidth="1"/>
    <col min="4" max="4" width="30.28515625" customWidth="1"/>
    <col min="5" max="5" width="13.7109375" style="1" customWidth="1"/>
    <col min="6" max="6" width="13" style="1" customWidth="1"/>
    <col min="7" max="7" width="10.28515625" customWidth="1"/>
    <col min="8" max="8" width="13.42578125" customWidth="1"/>
    <col min="9" max="9" width="9.140625" customWidth="1"/>
    <col min="10" max="11" width="9.140625" hidden="1" customWidth="1"/>
    <col min="12" max="23" width="0" hidden="1" customWidth="1"/>
    <col min="24" max="16384" width="9.140625" hidden="1"/>
  </cols>
  <sheetData>
    <row r="1" spans="2:8" x14ac:dyDescent="0.25">
      <c r="E1"/>
      <c r="F1"/>
    </row>
    <row r="2" spans="2:8" x14ac:dyDescent="0.25">
      <c r="E2"/>
      <c r="F2"/>
    </row>
    <row r="3" spans="2:8" ht="71.25" customHeight="1" x14ac:dyDescent="0.25">
      <c r="H3" s="44" t="str">
        <f>Blad1!BE2</f>
        <v/>
      </c>
    </row>
    <row r="4" spans="2:8" ht="26.25" customHeight="1" x14ac:dyDescent="0.4">
      <c r="B4" s="137" t="s">
        <v>104</v>
      </c>
      <c r="C4" s="138"/>
      <c r="D4" s="138"/>
      <c r="E4" s="138"/>
      <c r="F4" s="138"/>
      <c r="G4" s="138"/>
      <c r="H4" s="139"/>
    </row>
    <row r="5" spans="2:8" ht="30" x14ac:dyDescent="0.25">
      <c r="B5" s="51" t="s">
        <v>105</v>
      </c>
      <c r="C5" s="52"/>
      <c r="D5" s="52" t="s">
        <v>106</v>
      </c>
      <c r="E5" s="52" t="s">
        <v>175</v>
      </c>
      <c r="F5" s="52"/>
      <c r="G5" s="52" t="s">
        <v>177</v>
      </c>
      <c r="H5" s="53" t="s">
        <v>5</v>
      </c>
    </row>
    <row r="6" spans="2:8" ht="50.25" customHeight="1" x14ac:dyDescent="0.25">
      <c r="B6" s="41" t="s">
        <v>107</v>
      </c>
      <c r="C6" s="41"/>
      <c r="D6" s="41" t="s">
        <v>108</v>
      </c>
      <c r="E6" s="46">
        <v>40</v>
      </c>
      <c r="F6" s="58"/>
      <c r="G6" s="57">
        <v>0</v>
      </c>
      <c r="H6" s="42">
        <f t="shared" ref="H6:H11" si="0">E6*G6</f>
        <v>0</v>
      </c>
    </row>
    <row r="7" spans="2:8" ht="50.25" customHeight="1" x14ac:dyDescent="0.25">
      <c r="B7" s="41" t="s">
        <v>109</v>
      </c>
      <c r="C7" s="41"/>
      <c r="D7" s="41" t="s">
        <v>110</v>
      </c>
      <c r="E7" s="46">
        <v>22.5</v>
      </c>
      <c r="F7" s="59"/>
      <c r="G7" s="57">
        <v>0</v>
      </c>
      <c r="H7" s="42">
        <f t="shared" si="0"/>
        <v>0</v>
      </c>
    </row>
    <row r="8" spans="2:8" ht="50.25" customHeight="1" x14ac:dyDescent="0.25">
      <c r="B8" s="41" t="s">
        <v>111</v>
      </c>
      <c r="C8" s="41"/>
      <c r="D8" s="41" t="s">
        <v>112</v>
      </c>
      <c r="E8" s="46">
        <v>13</v>
      </c>
      <c r="F8" s="59"/>
      <c r="G8" s="57">
        <v>0</v>
      </c>
      <c r="H8" s="42">
        <f t="shared" si="0"/>
        <v>0</v>
      </c>
    </row>
    <row r="9" spans="2:8" ht="50.25" customHeight="1" x14ac:dyDescent="0.25">
      <c r="B9" s="41" t="s">
        <v>113</v>
      </c>
      <c r="C9" s="41"/>
      <c r="D9" s="41" t="s">
        <v>114</v>
      </c>
      <c r="E9" s="46">
        <v>22</v>
      </c>
      <c r="F9" s="59"/>
      <c r="G9" s="57">
        <v>0</v>
      </c>
      <c r="H9" s="42">
        <f t="shared" si="0"/>
        <v>0</v>
      </c>
    </row>
    <row r="10" spans="2:8" ht="50.25" customHeight="1" x14ac:dyDescent="0.25">
      <c r="B10" s="41" t="s">
        <v>115</v>
      </c>
      <c r="C10" s="41"/>
      <c r="D10" s="41" t="s">
        <v>116</v>
      </c>
      <c r="E10" s="46">
        <v>13.5</v>
      </c>
      <c r="F10" s="59"/>
      <c r="G10" s="57">
        <v>0</v>
      </c>
      <c r="H10" s="42">
        <f t="shared" si="0"/>
        <v>0</v>
      </c>
    </row>
    <row r="11" spans="2:8" ht="50.25" customHeight="1" x14ac:dyDescent="0.25">
      <c r="B11" s="41" t="s">
        <v>117</v>
      </c>
      <c r="C11" s="41"/>
      <c r="D11" s="41" t="s">
        <v>118</v>
      </c>
      <c r="E11" s="46">
        <v>9.5</v>
      </c>
      <c r="F11" s="59"/>
      <c r="G11" s="57">
        <v>0</v>
      </c>
      <c r="H11" s="42">
        <f t="shared" si="0"/>
        <v>0</v>
      </c>
    </row>
    <row r="12" spans="2:8" ht="50.25" customHeight="1" x14ac:dyDescent="0.25">
      <c r="B12" s="41" t="s">
        <v>119</v>
      </c>
      <c r="C12" s="41"/>
      <c r="D12" s="41" t="s">
        <v>120</v>
      </c>
      <c r="E12" s="47" t="s">
        <v>121</v>
      </c>
      <c r="F12" s="60"/>
      <c r="G12" s="57">
        <v>0</v>
      </c>
      <c r="H12" s="45" t="s">
        <v>121</v>
      </c>
    </row>
    <row r="13" spans="2:8" ht="50.25" customHeight="1" x14ac:dyDescent="0.25">
      <c r="B13" s="41" t="s">
        <v>122</v>
      </c>
      <c r="C13" s="41"/>
      <c r="D13" s="41" t="s">
        <v>123</v>
      </c>
      <c r="E13" s="46">
        <v>6.5</v>
      </c>
      <c r="F13" s="59"/>
      <c r="G13" s="57">
        <v>0</v>
      </c>
      <c r="H13" s="42">
        <f>E13*G13</f>
        <v>0</v>
      </c>
    </row>
    <row r="14" spans="2:8" ht="50.25" customHeight="1" x14ac:dyDescent="0.25">
      <c r="B14" s="41" t="s">
        <v>124</v>
      </c>
      <c r="C14" s="41"/>
      <c r="D14" s="41" t="s">
        <v>125</v>
      </c>
      <c r="E14" s="46">
        <v>7</v>
      </c>
      <c r="F14" s="59"/>
      <c r="G14" s="57">
        <v>0</v>
      </c>
      <c r="H14" s="42">
        <f>E14*G14</f>
        <v>0</v>
      </c>
    </row>
    <row r="15" spans="2:8" ht="50.25" customHeight="1" x14ac:dyDescent="0.25">
      <c r="B15" s="41" t="s">
        <v>126</v>
      </c>
      <c r="C15" s="41"/>
      <c r="D15" s="41" t="s">
        <v>127</v>
      </c>
      <c r="E15" s="46">
        <v>4.9000000000000004</v>
      </c>
      <c r="F15" s="59"/>
      <c r="G15" s="57">
        <v>0</v>
      </c>
      <c r="H15" s="42">
        <f>E15*G15</f>
        <v>0</v>
      </c>
    </row>
    <row r="16" spans="2:8" ht="17.25" customHeight="1" x14ac:dyDescent="0.25">
      <c r="B16" s="41" t="s">
        <v>128</v>
      </c>
      <c r="C16" s="41" t="s">
        <v>129</v>
      </c>
      <c r="D16" s="41"/>
      <c r="E16" s="47" t="s">
        <v>121</v>
      </c>
      <c r="F16" s="60"/>
      <c r="G16" s="57">
        <v>0</v>
      </c>
      <c r="H16" s="45" t="s">
        <v>121</v>
      </c>
    </row>
    <row r="17" spans="2:8" ht="17.25" customHeight="1" x14ac:dyDescent="0.25">
      <c r="B17" s="41" t="s">
        <v>130</v>
      </c>
      <c r="C17" s="41" t="s">
        <v>129</v>
      </c>
      <c r="D17" s="41"/>
      <c r="E17" s="47" t="s">
        <v>121</v>
      </c>
      <c r="F17" s="60"/>
      <c r="G17" s="57">
        <v>0</v>
      </c>
      <c r="H17" s="45" t="s">
        <v>121</v>
      </c>
    </row>
    <row r="18" spans="2:8" ht="17.25" customHeight="1" x14ac:dyDescent="0.25">
      <c r="B18" s="41" t="s">
        <v>131</v>
      </c>
      <c r="C18" s="41" t="s">
        <v>129</v>
      </c>
      <c r="D18" s="41"/>
      <c r="E18" s="47" t="s">
        <v>121</v>
      </c>
      <c r="F18" s="60"/>
      <c r="G18" s="57">
        <v>0</v>
      </c>
      <c r="H18" s="45" t="s">
        <v>121</v>
      </c>
    </row>
    <row r="19" spans="2:8" ht="50.25" customHeight="1" x14ac:dyDescent="0.25">
      <c r="B19" s="41" t="s">
        <v>132</v>
      </c>
      <c r="C19" s="41"/>
      <c r="D19" s="41" t="s">
        <v>133</v>
      </c>
      <c r="E19" s="46">
        <v>1.5</v>
      </c>
      <c r="F19" s="59"/>
      <c r="G19" s="57">
        <v>0</v>
      </c>
      <c r="H19" s="42">
        <f>E19*G19</f>
        <v>0</v>
      </c>
    </row>
    <row r="20" spans="2:8" ht="50.25" customHeight="1" x14ac:dyDescent="0.25">
      <c r="B20" s="41" t="s">
        <v>134</v>
      </c>
      <c r="C20" s="41"/>
      <c r="D20" s="41" t="s">
        <v>135</v>
      </c>
      <c r="E20" s="46">
        <v>1.5</v>
      </c>
      <c r="F20" s="59"/>
      <c r="G20" s="57">
        <v>0</v>
      </c>
      <c r="H20" s="42">
        <f>E20*G20</f>
        <v>0</v>
      </c>
    </row>
    <row r="21" spans="2:8" ht="50.25" customHeight="1" x14ac:dyDescent="0.25">
      <c r="B21" s="41" t="s">
        <v>136</v>
      </c>
      <c r="C21" s="41" t="s">
        <v>129</v>
      </c>
      <c r="D21" s="41"/>
      <c r="E21" s="47" t="s">
        <v>121</v>
      </c>
      <c r="F21" s="60"/>
      <c r="G21" s="57">
        <v>0</v>
      </c>
      <c r="H21" s="45" t="s">
        <v>121</v>
      </c>
    </row>
    <row r="22" spans="2:8" ht="50.25" customHeight="1" x14ac:dyDescent="0.25">
      <c r="B22" s="41" t="s">
        <v>137</v>
      </c>
      <c r="C22" s="41"/>
      <c r="D22" s="41" t="s">
        <v>138</v>
      </c>
      <c r="E22" s="46">
        <v>20.5</v>
      </c>
      <c r="F22" s="59"/>
      <c r="G22" s="57">
        <v>0</v>
      </c>
      <c r="H22" s="42">
        <f>E22*G22</f>
        <v>0</v>
      </c>
    </row>
    <row r="23" spans="2:8" ht="50.25" customHeight="1" x14ac:dyDescent="0.25">
      <c r="B23" s="41" t="s">
        <v>139</v>
      </c>
      <c r="C23" s="41"/>
      <c r="D23" s="41" t="s">
        <v>215</v>
      </c>
      <c r="E23" s="46">
        <v>250</v>
      </c>
      <c r="F23" s="59"/>
      <c r="G23" s="135" t="s">
        <v>185</v>
      </c>
      <c r="H23" s="136"/>
    </row>
    <row r="24" spans="2:8" ht="50.25" customHeight="1" x14ac:dyDescent="0.25">
      <c r="B24" s="41" t="s">
        <v>140</v>
      </c>
      <c r="C24" s="41"/>
      <c r="D24" s="41" t="s">
        <v>141</v>
      </c>
      <c r="E24" s="47" t="s">
        <v>121</v>
      </c>
      <c r="F24" s="60"/>
      <c r="G24" s="57">
        <v>0</v>
      </c>
      <c r="H24" s="45" t="s">
        <v>121</v>
      </c>
    </row>
    <row r="25" spans="2:8" x14ac:dyDescent="0.25"/>
    <row r="26" spans="2:8" x14ac:dyDescent="0.25">
      <c r="H26" s="49" t="str">
        <f>Blad1!BE2</f>
        <v/>
      </c>
    </row>
    <row r="27" spans="2:8" ht="26.25" customHeight="1" x14ac:dyDescent="0.4">
      <c r="B27" s="137" t="s">
        <v>142</v>
      </c>
      <c r="C27" s="138"/>
      <c r="D27" s="138"/>
      <c r="E27" s="138"/>
      <c r="F27" s="138"/>
      <c r="G27" s="138"/>
      <c r="H27" s="139"/>
    </row>
    <row r="28" spans="2:8" ht="30" customHeight="1" x14ac:dyDescent="0.25">
      <c r="B28" s="51" t="s">
        <v>105</v>
      </c>
      <c r="C28" s="52"/>
      <c r="D28" s="52" t="s">
        <v>106</v>
      </c>
      <c r="E28" s="52" t="s">
        <v>175</v>
      </c>
      <c r="F28" s="52"/>
      <c r="G28" s="52" t="s">
        <v>177</v>
      </c>
      <c r="H28" s="53" t="s">
        <v>5</v>
      </c>
    </row>
    <row r="29" spans="2:8" ht="50.25" customHeight="1" x14ac:dyDescent="0.25">
      <c r="B29" s="41" t="s">
        <v>143</v>
      </c>
      <c r="C29" s="41"/>
      <c r="D29" s="41" t="s">
        <v>144</v>
      </c>
      <c r="E29" s="46">
        <v>29.5</v>
      </c>
      <c r="F29" s="58"/>
      <c r="G29" s="57">
        <v>0</v>
      </c>
      <c r="H29" s="42">
        <f t="shared" ref="H29:H39" si="1">E29*G29</f>
        <v>0</v>
      </c>
    </row>
    <row r="30" spans="2:8" ht="50.25" customHeight="1" x14ac:dyDescent="0.25">
      <c r="B30" s="41" t="s">
        <v>145</v>
      </c>
      <c r="C30" s="41"/>
      <c r="D30" s="41" t="s">
        <v>146</v>
      </c>
      <c r="E30" s="46">
        <v>35</v>
      </c>
      <c r="F30" s="59"/>
      <c r="G30" s="57">
        <v>0</v>
      </c>
      <c r="H30" s="42">
        <f t="shared" si="1"/>
        <v>0</v>
      </c>
    </row>
    <row r="31" spans="2:8" ht="50.25" customHeight="1" x14ac:dyDescent="0.25">
      <c r="B31" s="41" t="s">
        <v>147</v>
      </c>
      <c r="C31" s="41"/>
      <c r="D31" s="41" t="s">
        <v>148</v>
      </c>
      <c r="E31" s="46">
        <v>15</v>
      </c>
      <c r="F31" s="59"/>
      <c r="G31" s="57">
        <v>0</v>
      </c>
      <c r="H31" s="42">
        <f t="shared" si="1"/>
        <v>0</v>
      </c>
    </row>
    <row r="32" spans="2:8" ht="50.25" customHeight="1" x14ac:dyDescent="0.25">
      <c r="B32" s="41" t="s">
        <v>149</v>
      </c>
      <c r="C32" s="41"/>
      <c r="D32" s="41" t="s">
        <v>150</v>
      </c>
      <c r="E32" s="46">
        <v>10.5</v>
      </c>
      <c r="F32" s="59"/>
      <c r="G32" s="57">
        <v>0</v>
      </c>
      <c r="H32" s="42">
        <f t="shared" si="1"/>
        <v>0</v>
      </c>
    </row>
    <row r="33" spans="2:8" ht="50.25" customHeight="1" x14ac:dyDescent="0.25">
      <c r="B33" s="41" t="s">
        <v>151</v>
      </c>
      <c r="C33" s="41"/>
      <c r="D33" s="41" t="s">
        <v>152</v>
      </c>
      <c r="E33" s="46">
        <v>9.5</v>
      </c>
      <c r="F33" s="59"/>
      <c r="G33" s="57">
        <v>0</v>
      </c>
      <c r="H33" s="42">
        <f t="shared" si="1"/>
        <v>0</v>
      </c>
    </row>
    <row r="34" spans="2:8" ht="50.25" customHeight="1" x14ac:dyDescent="0.25">
      <c r="B34" s="41" t="s">
        <v>153</v>
      </c>
      <c r="C34" s="41"/>
      <c r="D34" s="41" t="s">
        <v>154</v>
      </c>
      <c r="E34" s="46">
        <v>5</v>
      </c>
      <c r="F34" s="59"/>
      <c r="G34" s="57">
        <v>0</v>
      </c>
      <c r="H34" s="42">
        <f t="shared" si="1"/>
        <v>0</v>
      </c>
    </row>
    <row r="35" spans="2:8" ht="50.25" customHeight="1" x14ac:dyDescent="0.25">
      <c r="B35" s="41" t="s">
        <v>155</v>
      </c>
      <c r="C35" s="41"/>
      <c r="D35" s="41" t="s">
        <v>156</v>
      </c>
      <c r="E35" s="50">
        <v>4</v>
      </c>
      <c r="F35" s="61"/>
      <c r="G35" s="57">
        <v>0</v>
      </c>
      <c r="H35" s="42">
        <f t="shared" si="1"/>
        <v>0</v>
      </c>
    </row>
    <row r="36" spans="2:8" ht="50.25" customHeight="1" x14ac:dyDescent="0.25">
      <c r="B36" s="41" t="s">
        <v>157</v>
      </c>
      <c r="C36" s="41"/>
      <c r="D36" s="41" t="s">
        <v>158</v>
      </c>
      <c r="E36" s="46">
        <v>4.5</v>
      </c>
      <c r="F36" s="59"/>
      <c r="G36" s="57">
        <v>0</v>
      </c>
      <c r="H36" s="42">
        <f t="shared" si="1"/>
        <v>0</v>
      </c>
    </row>
    <row r="37" spans="2:8" ht="50.25" customHeight="1" x14ac:dyDescent="0.25">
      <c r="B37" s="41" t="s">
        <v>159</v>
      </c>
      <c r="C37" s="41"/>
      <c r="D37" s="41" t="s">
        <v>160</v>
      </c>
      <c r="E37" s="46">
        <v>1.5</v>
      </c>
      <c r="F37" s="59"/>
      <c r="G37" s="57">
        <v>0</v>
      </c>
      <c r="H37" s="42">
        <f t="shared" si="1"/>
        <v>0</v>
      </c>
    </row>
    <row r="38" spans="2:8" ht="50.25" customHeight="1" x14ac:dyDescent="0.25">
      <c r="B38" s="41" t="s">
        <v>161</v>
      </c>
      <c r="C38" s="41"/>
      <c r="D38" s="41" t="s">
        <v>162</v>
      </c>
      <c r="E38" s="46">
        <v>35</v>
      </c>
      <c r="F38" s="59"/>
      <c r="G38" s="57">
        <v>0</v>
      </c>
      <c r="H38" s="42">
        <f t="shared" si="1"/>
        <v>0</v>
      </c>
    </row>
    <row r="39" spans="2:8" ht="50.25" customHeight="1" x14ac:dyDescent="0.25">
      <c r="B39" s="41" t="s">
        <v>163</v>
      </c>
      <c r="C39" s="41"/>
      <c r="D39" s="41" t="s">
        <v>164</v>
      </c>
      <c r="E39" s="46">
        <v>12</v>
      </c>
      <c r="F39" s="59"/>
      <c r="G39" s="57">
        <v>0</v>
      </c>
      <c r="H39" s="42">
        <f t="shared" si="1"/>
        <v>0</v>
      </c>
    </row>
    <row r="40" spans="2:8" ht="50.25" customHeight="1" x14ac:dyDescent="0.25">
      <c r="B40" s="41" t="s">
        <v>165</v>
      </c>
      <c r="C40" s="41"/>
      <c r="D40" s="41" t="s">
        <v>166</v>
      </c>
      <c r="E40" s="45" t="s">
        <v>121</v>
      </c>
      <c r="F40" s="62"/>
      <c r="G40" s="57">
        <v>0</v>
      </c>
      <c r="H40" s="45" t="s">
        <v>121</v>
      </c>
    </row>
    <row r="41" spans="2:8" x14ac:dyDescent="0.25"/>
    <row r="42" spans="2:8" x14ac:dyDescent="0.25"/>
    <row r="43" spans="2:8" ht="26.25" customHeight="1" x14ac:dyDescent="0.4">
      <c r="B43" s="137" t="s">
        <v>167</v>
      </c>
      <c r="C43" s="138"/>
      <c r="D43" s="138"/>
      <c r="E43" s="138"/>
      <c r="F43" s="138"/>
      <c r="G43" s="138"/>
      <c r="H43" s="139"/>
    </row>
    <row r="44" spans="2:8" ht="30" x14ac:dyDescent="0.25">
      <c r="B44" s="51" t="s">
        <v>105</v>
      </c>
      <c r="C44" s="52"/>
      <c r="D44" s="52" t="s">
        <v>106</v>
      </c>
      <c r="E44" s="52" t="s">
        <v>175</v>
      </c>
      <c r="F44" s="52"/>
      <c r="G44" s="52" t="s">
        <v>177</v>
      </c>
      <c r="H44" s="53" t="s">
        <v>5</v>
      </c>
    </row>
    <row r="45" spans="2:8" ht="50.25" customHeight="1" x14ac:dyDescent="0.25">
      <c r="B45" s="41" t="s">
        <v>168</v>
      </c>
      <c r="C45" s="41"/>
      <c r="D45" s="41" t="s">
        <v>169</v>
      </c>
      <c r="E45" s="48">
        <v>65</v>
      </c>
      <c r="F45" s="63"/>
      <c r="G45" s="57">
        <v>0</v>
      </c>
      <c r="H45" s="42">
        <f>E45*G45</f>
        <v>0</v>
      </c>
    </row>
    <row r="46" spans="2:8" ht="50.25" customHeight="1" x14ac:dyDescent="0.25">
      <c r="B46" s="41" t="s">
        <v>170</v>
      </c>
      <c r="C46" s="41"/>
      <c r="D46" s="41" t="s">
        <v>171</v>
      </c>
      <c r="E46" s="48">
        <v>22.5</v>
      </c>
      <c r="F46" s="64"/>
      <c r="G46" s="57">
        <v>0</v>
      </c>
      <c r="H46" s="42">
        <f t="shared" ref="H46:H48" si="2">E46*G46</f>
        <v>0</v>
      </c>
    </row>
    <row r="47" spans="2:8" ht="50.25" customHeight="1" x14ac:dyDescent="0.25">
      <c r="B47" s="41" t="s">
        <v>172</v>
      </c>
      <c r="C47" s="41"/>
      <c r="D47" s="41" t="s">
        <v>178</v>
      </c>
      <c r="E47" s="48">
        <v>4</v>
      </c>
      <c r="F47" s="64"/>
      <c r="G47" s="135" t="s">
        <v>185</v>
      </c>
      <c r="H47" s="136"/>
    </row>
    <row r="48" spans="2:8" ht="50.25" customHeight="1" x14ac:dyDescent="0.25">
      <c r="B48" s="41" t="s">
        <v>173</v>
      </c>
      <c r="C48" s="41"/>
      <c r="D48" s="41" t="s">
        <v>174</v>
      </c>
      <c r="E48" s="48">
        <v>9</v>
      </c>
      <c r="F48" s="64"/>
      <c r="G48" s="57">
        <v>0</v>
      </c>
      <c r="H48" s="42">
        <f t="shared" si="2"/>
        <v>0</v>
      </c>
    </row>
    <row r="49" spans="5:8" x14ac:dyDescent="0.25"/>
    <row r="50" spans="5:8" x14ac:dyDescent="0.25"/>
    <row r="51" spans="5:8" ht="18.75" x14ac:dyDescent="0.3">
      <c r="E51" s="54" t="s">
        <v>179</v>
      </c>
      <c r="F51" s="54"/>
      <c r="G51" s="56">
        <f>SUM(G6:G24,G29:G40,G45:G48)</f>
        <v>0</v>
      </c>
      <c r="H51" s="55">
        <f>SUM(H6:H24,H29:H40,H45:H48)</f>
        <v>0</v>
      </c>
    </row>
    <row r="52" spans="5:8" x14ac:dyDescent="0.25"/>
  </sheetData>
  <sheetProtection algorithmName="SHA-512" hashValue="G6YHk5n+NzLI+lRDi/ER/FdWaXeKuorzAx0gLERRhuT2D+Wzmk+X9y1NR+ojQ3Msp53+C/+Y63uDZALSbIWIcA==" saltValue="cGF2bOMLouhhZvBilm80MA==" spinCount="100000" sheet="1" objects="1" scenarios="1" selectLockedCells="1"/>
  <mergeCells count="5">
    <mergeCell ref="G47:H47"/>
    <mergeCell ref="B4:H4"/>
    <mergeCell ref="B27:H27"/>
    <mergeCell ref="B43:H43"/>
    <mergeCell ref="G23:H23"/>
  </mergeCells>
  <dataValidations count="2">
    <dataValidation type="whole" allowBlank="1" showInputMessage="1" showErrorMessage="1" errorTitle="Ongeldig aantal" error="Voer een getal in tussen de 0 en 99 om aan te geven hoeveel onderdelen u wilt bestellen van dit soort." sqref="G24 G29:G40 G6:G22 G45:G46 G48" xr:uid="{D03F52D9-2CFF-4E66-BFB0-D67AE578D725}">
      <formula1>0</formula1>
      <formula2>99</formula2>
    </dataValidation>
    <dataValidation allowBlank="1" showInputMessage="1" showErrorMessage="1" errorTitle="Ongeldig aantal" error="Voer een getal in tussen de 0 en 99 om aan te geven hoeveel onderdelen u wilt bestellen van dit soort." sqref="G23 G47" xr:uid="{1DA3CC3D-19B4-4390-94DB-B6FB97359D2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1886-A5D0-4B17-9288-588371C65506}">
  <dimension ref="A1:BG2"/>
  <sheetViews>
    <sheetView topLeftCell="AH1" workbookViewId="0">
      <selection activeCell="AO2" sqref="AO2"/>
    </sheetView>
  </sheetViews>
  <sheetFormatPr defaultRowHeight="15" x14ac:dyDescent="0.25"/>
  <cols>
    <col min="1" max="2" width="17.42578125" customWidth="1"/>
    <col min="3" max="3" width="26.42578125" customWidth="1"/>
    <col min="4" max="4" width="21.42578125" customWidth="1"/>
    <col min="6" max="6" width="13.5703125" customWidth="1"/>
    <col min="7" max="7" width="15.5703125" customWidth="1"/>
    <col min="8" max="8" width="22" customWidth="1"/>
    <col min="9" max="12" width="19.5703125" customWidth="1"/>
    <col min="13" max="16" width="23.7109375" customWidth="1"/>
    <col min="17" max="17" width="23.28515625" customWidth="1"/>
    <col min="18" max="18" width="12.42578125" customWidth="1"/>
    <col min="19" max="20" width="15.42578125" customWidth="1"/>
    <col min="21" max="21" width="14.7109375" customWidth="1"/>
    <col min="22" max="24" width="14.140625" customWidth="1"/>
    <col min="25" max="28" width="12.7109375" customWidth="1"/>
    <col min="29" max="29" width="10.28515625" customWidth="1"/>
    <col min="30" max="30" width="11.85546875" style="3" customWidth="1"/>
    <col min="31" max="32" width="11.140625" style="3" customWidth="1"/>
    <col min="33" max="48" width="23.5703125" customWidth="1"/>
    <col min="49" max="49" width="18.42578125" customWidth="1"/>
    <col min="50" max="50" width="20" customWidth="1"/>
    <col min="51" max="51" width="21.42578125" customWidth="1"/>
    <col min="52" max="56" width="31.42578125" customWidth="1"/>
    <col min="57" max="57" width="15.42578125" customWidth="1"/>
  </cols>
  <sheetData>
    <row r="1" spans="1:59" s="4" customFormat="1" ht="60" x14ac:dyDescent="0.25">
      <c r="A1" s="4" t="s">
        <v>212</v>
      </c>
      <c r="B1" s="4" t="s">
        <v>213</v>
      </c>
      <c r="C1" s="4" t="s">
        <v>32</v>
      </c>
      <c r="D1" s="4" t="s">
        <v>33</v>
      </c>
      <c r="E1" s="4" t="s">
        <v>34</v>
      </c>
      <c r="F1" s="4" t="s">
        <v>35</v>
      </c>
      <c r="G1" s="4" t="s">
        <v>36</v>
      </c>
      <c r="H1" s="4" t="s">
        <v>37</v>
      </c>
      <c r="I1" s="4" t="s">
        <v>38</v>
      </c>
      <c r="J1" s="4" t="s">
        <v>211</v>
      </c>
      <c r="K1" s="4" t="s">
        <v>207</v>
      </c>
      <c r="L1" s="4" t="s">
        <v>49</v>
      </c>
      <c r="M1" s="4" t="s">
        <v>57</v>
      </c>
      <c r="N1" s="4" t="s">
        <v>64</v>
      </c>
      <c r="O1" s="4" t="s">
        <v>61</v>
      </c>
      <c r="P1" s="4" t="s">
        <v>59</v>
      </c>
      <c r="Q1" s="4" t="s">
        <v>39</v>
      </c>
      <c r="R1" s="4" t="s">
        <v>40</v>
      </c>
      <c r="S1" s="4" t="s">
        <v>41</v>
      </c>
      <c r="T1" s="4" t="s">
        <v>56</v>
      </c>
      <c r="U1" s="4" t="s">
        <v>42</v>
      </c>
      <c r="V1" s="4" t="s">
        <v>43</v>
      </c>
      <c r="W1" s="4" t="s">
        <v>88</v>
      </c>
      <c r="X1" s="4" t="s">
        <v>89</v>
      </c>
      <c r="Y1" s="4" t="s">
        <v>44</v>
      </c>
      <c r="Z1" s="4" t="s">
        <v>186</v>
      </c>
      <c r="AA1" s="4" t="s">
        <v>187</v>
      </c>
      <c r="AB1" s="4" t="s">
        <v>188</v>
      </c>
      <c r="AC1" s="4" t="s">
        <v>45</v>
      </c>
      <c r="AD1" s="5" t="s">
        <v>46</v>
      </c>
      <c r="AE1" s="5" t="s">
        <v>47</v>
      </c>
      <c r="AF1" s="5" t="s">
        <v>75</v>
      </c>
      <c r="AG1" s="4" t="s">
        <v>8</v>
      </c>
      <c r="AH1" s="4" t="s">
        <v>9</v>
      </c>
      <c r="AI1" s="4" t="s">
        <v>87</v>
      </c>
      <c r="AJ1" s="4" t="s">
        <v>85</v>
      </c>
      <c r="AK1" s="4" t="s">
        <v>14</v>
      </c>
      <c r="AL1" s="4" t="s">
        <v>95</v>
      </c>
      <c r="AM1" s="4" t="s">
        <v>78</v>
      </c>
      <c r="AN1" s="4" t="s">
        <v>214</v>
      </c>
      <c r="AO1" s="4" t="s">
        <v>77</v>
      </c>
      <c r="AP1" s="4" t="s">
        <v>6</v>
      </c>
      <c r="AQ1" s="4" t="s">
        <v>7</v>
      </c>
      <c r="AR1" s="4" t="s">
        <v>51</v>
      </c>
      <c r="AS1" s="4" t="s">
        <v>182</v>
      </c>
      <c r="AT1" s="4" t="s">
        <v>52</v>
      </c>
      <c r="AU1" s="4" t="s">
        <v>198</v>
      </c>
      <c r="AV1" s="74">
        <v>-0.15</v>
      </c>
      <c r="AW1" s="4" t="s">
        <v>67</v>
      </c>
      <c r="AX1" s="4" t="s">
        <v>15</v>
      </c>
      <c r="AY1" s="4" t="s">
        <v>17</v>
      </c>
      <c r="AZ1" s="4" t="s">
        <v>68</v>
      </c>
      <c r="BA1" s="4" t="s">
        <v>79</v>
      </c>
      <c r="BB1" s="4" t="s">
        <v>83</v>
      </c>
      <c r="BC1" s="4" t="s">
        <v>84</v>
      </c>
      <c r="BD1" s="4" t="s">
        <v>181</v>
      </c>
      <c r="BE1" s="4" t="s">
        <v>70</v>
      </c>
      <c r="BF1" s="4" t="s">
        <v>90</v>
      </c>
      <c r="BG1" s="4" t="s">
        <v>91</v>
      </c>
    </row>
    <row r="2" spans="1:59" s="2" customFormat="1" x14ac:dyDescent="0.25">
      <c r="A2" s="2" t="str">
        <f>IF(Aanvraagformulier!AG48=0,"",Aanvraagformulier!C48)</f>
        <v/>
      </c>
      <c r="B2" s="2" t="str">
        <f>IF(Aanvraagformulier!AG48=0,"","T.a.v.")</f>
        <v/>
      </c>
      <c r="C2" s="2">
        <f>Aanvraagformulier!C49</f>
        <v>0</v>
      </c>
      <c r="D2" s="2">
        <f>Aanvraagformulier!C50</f>
        <v>0</v>
      </c>
      <c r="E2" s="2">
        <f>Aanvraagformulier!C51</f>
        <v>0</v>
      </c>
      <c r="F2" s="2">
        <f>Aanvraagformulier!F51</f>
        <v>0</v>
      </c>
      <c r="G2" s="2">
        <f>Aanvraagformulier!C52</f>
        <v>0</v>
      </c>
      <c r="H2" s="2">
        <f>Aanvraagformulier!C53</f>
        <v>0</v>
      </c>
      <c r="I2" s="2">
        <f>Aanvraagformulier!C54</f>
        <v>0</v>
      </c>
      <c r="J2" s="49" t="str">
        <f>IF(Aanvraagformulier!C48=0,", geboren op ","")</f>
        <v xml:space="preserve">, geboren op </v>
      </c>
      <c r="K2" s="3" t="str">
        <f>IF(Aanvraagformulier!AH48=1,Aanvraagformulier!C55,"")</f>
        <v/>
      </c>
      <c r="L2" s="2" t="str">
        <f>IF(Aanvraagformulier!C56=0,"IBAN NIET INGEVULD!",Aanvraagformulier!C56)</f>
        <v>IBAN NIET INGEVULD!</v>
      </c>
      <c r="M2" s="6" t="str">
        <f>IF(Aanvraagformulier!AI61=2,Aanvraagformulier!AF65,"")</f>
        <v/>
      </c>
      <c r="N2" s="6" t="str">
        <f>IF(Aanvraagformulier!AI64=1,"PostNL-punt","")</f>
        <v/>
      </c>
      <c r="O2" s="6" t="str">
        <f>IF(Aanvraagformulier!AI61=1,"",Aanvraagformulier!C64)</f>
        <v/>
      </c>
      <c r="P2" s="6" t="str">
        <f>IF(Aanvraagformulier!AI61=1,"",Aanvraagformulier!C65)</f>
        <v/>
      </c>
      <c r="Q2" s="2" t="str">
        <f>IF(Aanvraagformulier!AI61=1,"",Aanvraagformulier!C66)</f>
        <v/>
      </c>
      <c r="R2" s="2" t="str">
        <f>IF(Aanvraagformulier!AI61=1,"",Aanvraagformulier!C67)</f>
        <v/>
      </c>
      <c r="S2" s="2" t="str">
        <f>IF(Aanvraagformulier!AI61=1,"",Aanvraagformulier!F67)</f>
        <v/>
      </c>
      <c r="T2" s="2" t="str">
        <f>IF(Aanvraagformulier!AI61=1,"",Aanvraagformulier!C68)</f>
        <v/>
      </c>
      <c r="U2" s="2">
        <f>Aanvraagformulier!C22</f>
        <v>0</v>
      </c>
      <c r="V2" s="2">
        <f>Aanvraagformulier!C23+Aanvraagformulier!C24</f>
        <v>0</v>
      </c>
      <c r="W2" s="2">
        <f>Aanvraagformulier!C23</f>
        <v>0</v>
      </c>
      <c r="X2" s="2">
        <f>Aanvraagformulier!C24</f>
        <v>0</v>
      </c>
      <c r="Y2" s="2">
        <f>Aanvraagformulier!C25</f>
        <v>0</v>
      </c>
      <c r="Z2" s="2" t="str">
        <f>IF(Aanvraagformulier!C25&gt;0,"Extra piepvlag","")</f>
        <v/>
      </c>
      <c r="AA2" s="2">
        <f>(Aanvraagformulier!C25*Aanvraagformulier!N25+Aanvraagformulier!AA11*Aanvraagformulier!N25*Aanvraagformulier!C25)*Aanvraagformulier!AB10</f>
        <v>0</v>
      </c>
      <c r="AB2" s="2" t="str">
        <f>IF(Aanvraagformulier!C25&gt;0,Aanvraagformulier!T25,"")</f>
        <v/>
      </c>
      <c r="AC2" s="2">
        <f>Aanvraagformulier!C26</f>
        <v>0</v>
      </c>
      <c r="AD2" s="3" t="str">
        <f>IF(Aanvraagformulier!F29=0,"",Aanvraagformulier!F29)</f>
        <v/>
      </c>
      <c r="AE2" s="3" t="str">
        <f>IF(Aanvraagformulier!F30=0,"",Aanvraagformulier!F30)</f>
        <v/>
      </c>
      <c r="AF2" s="2">
        <f>Aanvraagformulier!K31</f>
        <v>0</v>
      </c>
      <c r="AG2" s="2" t="str">
        <f>IF(Aanvraagformulier!C10=0,"","Huur korte termijn 1 wedstrijd")</f>
        <v/>
      </c>
      <c r="AH2" s="2" t="str">
        <f>IF(Aanvraagformulier!C11=0,"","Huur korte termijn meerdaags")</f>
        <v/>
      </c>
      <c r="AI2" s="6">
        <f>IF(Aanvraagformulier!C10="X",Aanvraagformulier!N10,Aanvraagformulier!N11)</f>
        <v>27.5</v>
      </c>
      <c r="AJ2" s="9">
        <f>AF2*(Aanvraagformulier!N10+Aanvraagformulier!AH11)*U2+Y2*Aanvraagformulier!N25*AF2+AC2*Aanvraagformulier!N26+Aanvraagformulier!C23*Blad1!AF2*(Aanvraagformulier!N10+Aanvraagformulier!AH11)+Aanvraagformulier!C24*Blad1!AF2*(Aanvraagformulier!N11+Aanvraagformulier!AH11)</f>
        <v>0</v>
      </c>
      <c r="AK2" s="2" t="str">
        <f>IF(Aanvraagformulier!C12=0,"","Huur lange termijn (min. 2 mnd)")</f>
        <v/>
      </c>
      <c r="AL2" s="12" t="str">
        <f>IF(Aanvraagformulier!E14= "X","betaling ineens. Het gehele bedrag incl. de borg (indien van toepassing) is vooraf verschuldigd en moet uiterlijk betaald worden op:","maandelijkse termijnen, termijn 1 en de borg (indien van toepassing) dienen vooraf betaald te worden. U bent zelf verantwoordelijk voor het tijdig betalen van alle maandelijkse termijnen. De 2e termijnbetaling dient uiterlijk ontvangen te zijn op:")</f>
        <v>maandelijkse termijnen, termijn 1 en de borg (indien van toepassing) dienen vooraf betaald te worden. U bent zelf verantwoordelijk voor het tijdig betalen van alle maandelijkse termijnen. De 2e termijnbetaling dient uiterlijk ontvangen te zijn op:</v>
      </c>
      <c r="AM2" s="2">
        <f>ROUND((AF2/30.41666),0)</f>
        <v>0</v>
      </c>
      <c r="AN2" s="2">
        <f>Aanvraagformulier!N12</f>
        <v>45</v>
      </c>
      <c r="AO2" s="9">
        <f>AM2*U2*Aanvraagformulier!N12+Y2*5*AM2+AC2*Aanvraagformulier!N26+Aanvraagformulier!C23*Aanvraagformulier!N12*AM2+Aanvraagformulier!C24*Aanvraagformulier!N12*Blad1!AM2</f>
        <v>0</v>
      </c>
      <c r="AP2" s="2" t="str">
        <f>IF(Aanvraagformulier!C16=0,"","Financial lease piepvlaggen")</f>
        <v/>
      </c>
      <c r="AQ2" s="2" t="str">
        <f>IF(Aanvraagformulier!C17=0,"","Directe koop piepvlaggen")</f>
        <v/>
      </c>
      <c r="AR2" s="2" t="str">
        <f>IF(Aanvraagformulier!C18=0,"","Aankoop reserve-onderdelen")</f>
        <v/>
      </c>
      <c r="AS2" s="2">
        <f>'Reserve-onderdelen'!G51</f>
        <v>0</v>
      </c>
      <c r="AT2" s="2" t="str">
        <f>IF(Aanvraagformulier!C19=0,"","Uitvoeren reparatie")</f>
        <v/>
      </c>
      <c r="AU2" s="2" t="str">
        <f>IF(Aanvraagformulier!M20="X","Cliëntenkorting","")</f>
        <v/>
      </c>
      <c r="AV2" s="2" t="str">
        <f>IF(Aanvraagformulier!M20="X","-15%","")</f>
        <v/>
      </c>
      <c r="AW2" s="2" t="str">
        <f>IF(Aanvraagformulier!C34="X","ophalen in Delft","pakketpost")</f>
        <v>pakketpost</v>
      </c>
      <c r="AX2" s="2" t="str">
        <f>IF(Aanvraagformulier!C37=0,"","zelf terugzenden met pakketpost")</f>
        <v/>
      </c>
      <c r="AY2" s="2" t="str">
        <f>IF(Aanvraagformulier!C38=0,"","zelf terugbrengen in Delft")</f>
        <v/>
      </c>
      <c r="AZ2" s="2" t="str">
        <f>IF(Aanvraagformulier!C39=0,"","pakketpost met door Piepvlaggen.nl verzorgd label")</f>
        <v/>
      </c>
      <c r="BA2" s="10">
        <f>Aanvraagformulier!AH37</f>
        <v>0</v>
      </c>
      <c r="BB2" s="10">
        <f>BA2+AJ2</f>
        <v>0</v>
      </c>
      <c r="BC2" s="10">
        <f>BA2+AO2</f>
        <v>0</v>
      </c>
      <c r="BD2" s="43">
        <f>'Reserve-onderdelen'!H51</f>
        <v>0</v>
      </c>
      <c r="BE2" s="2" t="str">
        <f>IF(Aanvraagformulier!C58="X","Prijzen zijn excl. BTW (BTW factuur volgt)","")</f>
        <v/>
      </c>
      <c r="BF2" s="2" t="str">
        <f>IF(Aanvraagformulier!C58="X","PROFORMA","FACTUUR")</f>
        <v>FACTUUR</v>
      </c>
      <c r="BG2" s="2" t="str">
        <f>IF(Aanvraagformulier!C58="X","Deze Proforma is bedoeld ter kennisgeving van de kosten. Facturatie geschiedt via ons moederbedrijf, KMR Video.","Wij ontvangen de betaling graag z.s.m. op rekeningnummer NL81INGB0003648575 t.n.v. Y.M.G. Rodenburg o.v.v. bovengenoemde referentie. De bestelling wordt pas ter beschikking gesteld na ontvangst van betaling en de ontvangst van de getekende overeenkomst.")</f>
        <v>Wij ontvangen de betaling graag z.s.m. op rekeningnummer NL81INGB0003648575 t.n.v. Y.M.G. Rodenburg o.v.v. bovengenoemde referentie. De bestelling wordt pas ter beschikking gesteld na ontvangst van betaling en de ontvangst van de getekende overeenkomst.</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Aanvraagformulier</vt:lpstr>
      <vt:lpstr>Reserve-onderdelen</vt: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Yency</dc:creator>
  <cp:lastModifiedBy>Yency Rodenburg</cp:lastModifiedBy>
  <cp:lastPrinted>2024-06-16T19:28:41Z</cp:lastPrinted>
  <dcterms:created xsi:type="dcterms:W3CDTF">2022-07-06T16:05:34Z</dcterms:created>
  <dcterms:modified xsi:type="dcterms:W3CDTF">2024-10-27T11:04:29Z</dcterms:modified>
</cp:coreProperties>
</file>